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65491" windowWidth="15120" windowHeight="11325" activeTab="0"/>
  </bookViews>
  <sheets>
    <sheet name="1. Общая информация" sheetId="1" r:id="rId1"/>
    <sheet name="Пункт 2.1." sheetId="2" r:id="rId2"/>
    <sheet name="Пункт 2.2." sheetId="3" r:id="rId3"/>
    <sheet name="2.3.-2.4." sheetId="4" r:id="rId4"/>
    <sheet name="3.1." sheetId="5" r:id="rId5"/>
    <sheet name="3.2.-3.3." sheetId="6" r:id="rId6"/>
    <sheet name="Пункт 3.4." sheetId="7" r:id="rId7"/>
    <sheet name="3.5." sheetId="8" r:id="rId8"/>
    <sheet name="Пункт 4.1." sheetId="9" r:id="rId9"/>
    <sheet name="Пункт 4.2." sheetId="10" r:id="rId10"/>
    <sheet name="Пункт 4.3." sheetId="11" r:id="rId11"/>
    <sheet name="4.4." sheetId="12" r:id="rId12"/>
    <sheet name="4.5." sheetId="13" r:id="rId13"/>
    <sheet name="4.6." sheetId="14" r:id="rId14"/>
    <sheet name="4.7." sheetId="15" r:id="rId15"/>
    <sheet name="4.8." sheetId="16" r:id="rId16"/>
    <sheet name="Пункт 4.9." sheetId="17" r:id="rId17"/>
    <sheet name="ИНФОРМАЦИЯ 2017Г" sheetId="18" r:id="rId18"/>
    <sheet name="ИНФОРМАЦИЯ 2016Г" sheetId="19" r:id="rId19"/>
    <sheet name="информация2015г" sheetId="20" r:id="rId20"/>
    <sheet name="информация 2014г" sheetId="21" r:id="rId21"/>
  </sheets>
  <externalReferences>
    <externalReference r:id="rId24"/>
    <externalReference r:id="rId25"/>
  </externalReferences>
  <definedNames>
    <definedName name="_GoBack" localSheetId="15">'4.8.'!#REF!</definedName>
    <definedName name="_xlnm.Print_Titles" localSheetId="4">'3.1.'!$5:$5</definedName>
    <definedName name="_xlnm.Print_Area" localSheetId="0">'1. Общая информация'!$A$1:$Y$75</definedName>
    <definedName name="_xlnm.Print_Area" localSheetId="20">'информация 2014г'!$A$1:$H$49</definedName>
    <definedName name="_xlnm.Print_Area" localSheetId="1">'Пункт 2.1.'!$A$1:$R$31</definedName>
    <definedName name="_xlnm.Print_Area" localSheetId="6">'Пункт 3.4.'!$A$1:$AX$21</definedName>
    <definedName name="_xlnm.Print_Area" localSheetId="9">'Пункт 4.2.'!$A$1:$K$6</definedName>
    <definedName name="_xlnm.Print_Area" localSheetId="16">'Пункт 4.9.'!$A$1:$AE$9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C16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старого образца</t>
        </r>
      </text>
    </comment>
    <comment ref="G1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выданы ТУ 68 кВт завод по производству плитки</t>
        </r>
      </text>
    </comment>
    <comment ref="G2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максимум декабрь 2016</t>
        </r>
      </text>
    </comment>
    <comment ref="M2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имеются заявки =каток, ИЖС =650 кВт</t>
        </r>
      </text>
    </comment>
    <comment ref="G20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максимум декабрь 2016</t>
        </r>
      </text>
    </comment>
    <comment ref="M20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М68/(М69+,,,,М129)/2)=0,352</t>
        </r>
      </text>
    </comment>
    <comment ref="F20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I=400/1,73/6</t>
        </r>
      </text>
    </comment>
    <comment ref="C2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старого образца</t>
        </r>
      </text>
    </comment>
    <comment ref="C26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старого образца</t>
        </r>
      </text>
    </comment>
  </commentList>
</comments>
</file>

<file path=xl/sharedStrings.xml><?xml version="1.0" encoding="utf-8"?>
<sst xmlns="http://schemas.openxmlformats.org/spreadsheetml/2006/main" count="3300" uniqueCount="1009">
  <si>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</si>
  <si>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</si>
  <si>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</si>
  <si>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</si>
  <si>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</si>
  <si>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</si>
  <si>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</si>
  <si>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</si>
  <si>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</si>
  <si>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</si>
  <si>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</si>
  <si>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</si>
  <si>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</si>
  <si>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</si>
  <si>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</si>
  <si>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</si>
  <si>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</si>
  <si>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</si>
  <si>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</si>
  <si>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</si>
  <si>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</si>
  <si>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</si>
  <si>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</si>
  <si>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</si>
  <si>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</si>
  <si>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</si>
  <si>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1.1.</t>
  </si>
  <si>
    <t>1.2.</t>
  </si>
  <si>
    <t>1.3.</t>
  </si>
  <si>
    <t>1.4.</t>
  </si>
  <si>
    <r>
      <t xml:space="preserve">Показатель средней продолжительности прекращений передачи электрической энергии </t>
    </r>
    <r>
      <rPr>
        <b/>
        <sz val="12"/>
        <color indexed="8"/>
        <rFont val="Calibri"/>
        <family val="2"/>
      </rPr>
      <t>(П saidi)*</t>
    </r>
  </si>
  <si>
    <t>2.1.</t>
  </si>
  <si>
    <t>2.2.</t>
  </si>
  <si>
    <t>2.3.</t>
  </si>
  <si>
    <t>2.4.</t>
  </si>
  <si>
    <t>3.1.</t>
  </si>
  <si>
    <t>3.2.</t>
  </si>
  <si>
    <t>3.3.</t>
  </si>
  <si>
    <t>3.4.</t>
  </si>
  <si>
    <r>
      <t xml:space="preserve">Показатель средней частоты прекращений передачи электрической энергии </t>
    </r>
    <r>
      <rPr>
        <b/>
        <sz val="11"/>
        <color indexed="8"/>
        <rFont val="Calibri"/>
        <family val="2"/>
      </rPr>
      <t>(П saifi)*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</si>
  <si>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</si>
  <si>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saifi, план)**</t>
    </r>
  </si>
  <si>
    <t>4.1.</t>
  </si>
  <si>
    <t>4.2.</t>
  </si>
  <si>
    <t>4.3.</t>
  </si>
  <si>
    <t>4.4.</t>
  </si>
  <si>
    <t>5.1.</t>
  </si>
  <si>
    <t>Количество случаев нарушения качества электрической энергии, подтвержденных актами контролирующих организаций и (или) решениями суда***,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</si>
  <si>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шт***.</t>
  </si>
  <si>
    <r>
      <t xml:space="preserve">Показатель средней продолжительности прекращений передачи электрической энергии,  </t>
    </r>
    <r>
      <rPr>
        <b/>
        <sz val="10"/>
        <color indexed="8"/>
        <rFont val="Calibri"/>
        <family val="2"/>
      </rPr>
      <t>(П saidi)**</t>
    </r>
  </si>
  <si>
    <r>
      <t>Показатель средней частоты прекращений передачи электрической энергии, </t>
    </r>
    <r>
      <rPr>
        <b/>
        <sz val="10"/>
        <color indexed="8"/>
        <rFont val="Calibri"/>
        <family val="2"/>
      </rPr>
      <t>(П saifi)**</t>
    </r>
  </si>
  <si>
    <r>
      <t>Структурная единица сетевой организации</t>
    </r>
    <r>
      <rPr>
        <b/>
        <sz val="10"/>
        <color indexed="8"/>
        <rFont val="Calibri"/>
        <family val="2"/>
      </rPr>
      <t>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</si>
  <si>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</si>
  <si>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saifi, план)**</t>
    </r>
  </si>
  <si>
    <t>Примечание:</t>
  </si>
  <si>
    <r>
      <t xml:space="preserve"> </t>
    </r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указываются наименования обособленных подразделений сетевой организации, в том числе производственных отделений или предприятий электрических сетей.</t>
    </r>
  </si>
  <si>
    <r>
      <rPr>
        <b/>
        <sz val="11"/>
        <color indexed="8"/>
        <rFont val="Calibri"/>
        <family val="2"/>
      </rPr>
      <t>**</t>
    </r>
    <r>
      <rPr>
        <sz val="11"/>
        <color theme="1"/>
        <rFont val="Calibri"/>
        <family val="2"/>
      </rPr>
      <t xml:space="preserve"> - значение показателей определяются  в  соответствии с пунктом 2.1., при этом в  расчётах следует использовать  количество потребителей услуг, энергопринимающие устройства которых расположены на территории эксплуатационной ответственности данного обособленного подразделения.</t>
    </r>
  </si>
  <si>
    <t>2.   ИНФОРМАЦИЯ  О КАЧЕСТВЕ УСЛУГ ПО ПЕРЕДАЧЕ ЭЛЕКТРИЧЕСКОЙ ЭНЕРГИИ.</t>
  </si>
  <si>
    <t>2.3.  Мероприятия, выполняемые сетевой организации в целях  повышения качества оказания  услуг по передаче электрической энергии в отчётном  периоде.</t>
  </si>
  <si>
    <t>1.</t>
  </si>
  <si>
    <t>2.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</si>
  <si>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</si>
  <si>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</si>
  <si>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</si>
  <si>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</si>
  <si>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</si>
  <si>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</si>
  <si>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</si>
  <si>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</si>
  <si>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</si>
  <si>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</si>
  <si>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</si>
  <si>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</si>
  <si>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</si>
  <si>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</si>
  <si>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по технологическому присоединению</t>
  </si>
  <si>
    <t>1. Общая информация о сетевой организации.</t>
  </si>
  <si>
    <t>7.1.</t>
  </si>
  <si>
    <t>7.2.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</si>
  <si>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</si>
  <si>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</si>
  <si>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</si>
  <si>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</si>
  <si>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</si>
  <si>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</si>
  <si>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</si>
  <si>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</si>
  <si>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</si>
  <si>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</si>
  <si>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</si>
  <si>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</si>
  <si>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</si>
  <si>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</si>
  <si>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</si>
  <si>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</si>
  <si>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</si>
  <si>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</si>
  <si>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</si>
  <si>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</si>
  <si>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</si>
  <si>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</si>
  <si>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</si>
  <si>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2.1.1.</t>
  </si>
  <si>
    <t>2.1.2.</t>
  </si>
  <si>
    <t>2.5.</t>
  </si>
  <si>
    <t>2.6.</t>
  </si>
  <si>
    <t>Жалобы*</t>
  </si>
  <si>
    <t>качество услуг по передаче электрической энергии**</t>
  </si>
  <si>
    <t>качество электрической энергии***</t>
  </si>
  <si>
    <t>Офис обслуживания потребителей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</si>
  <si>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</si>
  <si>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</si>
  <si>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</si>
  <si>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</si>
  <si>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</si>
  <si>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потребителей*.</t>
  </si>
  <si>
    <t>Тип офиса**</t>
  </si>
  <si>
    <t>Предоставляемые услуги***</t>
  </si>
  <si>
    <t>Среднее время на обслуживание потребителя, мин****.</t>
  </si>
  <si>
    <t>Среднее время ожидания потребителя в очереди, мин****.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</si>
  <si>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</si>
  <si>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</si>
  <si>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</si>
  <si>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</si>
  <si>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</si>
  <si>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</si>
  <si>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</si>
  <si>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</si>
  <si>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</si>
  <si>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</si>
  <si>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</si>
  <si>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мин.</t>
  </si>
  <si>
    <t>Среднее время ожидания ответа потребителем при телефонном вызове на выделенные номера телефонов за текущий период*</t>
  </si>
  <si>
    <t>Среднее время обработки телефонного вызова от потребителя на выделенные номера телефонов за текущий период**</t>
  </si>
  <si>
    <t>(наименование сетевой организации)</t>
  </si>
  <si>
    <t>Динамика по отношению к году, предшествующему отчетному</t>
  </si>
  <si>
    <t>№№            пп</t>
  </si>
  <si>
    <t>Тип потребителя</t>
  </si>
  <si>
    <t>по уровню напряжения</t>
  </si>
  <si>
    <t>категория надежности</t>
  </si>
  <si>
    <t>СН-1</t>
  </si>
  <si>
    <t>СН-2</t>
  </si>
  <si>
    <t xml:space="preserve">Потребители - юридические лица </t>
  </si>
  <si>
    <t>2</t>
  </si>
  <si>
    <t xml:space="preserve">Потребители - физические лица </t>
  </si>
  <si>
    <t>ЛЭП</t>
  </si>
  <si>
    <t>Воздушные линии, км</t>
  </si>
  <si>
    <t>Кабельные линии, км</t>
  </si>
  <si>
    <t>Подстанция</t>
  </si>
  <si>
    <t>Филиал АО "МЭС" "Ковдорская электросеть"</t>
  </si>
  <si>
    <t>Очного обслуживания</t>
  </si>
  <si>
    <t>184141 Мурманская область, г.Ковдор, ул.Кирова, д.3</t>
  </si>
  <si>
    <t>ПН-ПТ 8.30-16.42, СБ-ВС выходные дни</t>
  </si>
  <si>
    <t>Консультация специалистами филиала по вопросам:  Электроснабжение; Качество электрической энергии; Перерывы в электроснабжении; Состояние электроснабжения, плановые и аварийные отключения электроэнергии; Технологическое присоединение к электрическим сетям; Обслуживание приборо учета электрической энергии; Незаконное потребление электрической энергии и хищение объектов электросетевого хозяйства; Прочие вопросы, касающиеся деятельности филиала.</t>
  </si>
  <si>
    <t>&gt;250</t>
  </si>
  <si>
    <t>(81535)7-37-36</t>
  </si>
  <si>
    <t>(81535)7-26-20</t>
  </si>
  <si>
    <t>˗</t>
  </si>
  <si>
    <t>-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</si>
  <si>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</si>
  <si>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</si>
  <si>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</si>
  <si>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</si>
  <si>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</si>
  <si>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</si>
  <si>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</si>
  <si>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</si>
  <si>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</si>
  <si>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</si>
  <si>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</si>
  <si>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</si>
  <si>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</si>
  <si>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</si>
  <si>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</si>
  <si>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</si>
  <si>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</si>
  <si>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</si>
  <si>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</si>
  <si>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</si>
  <si>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</si>
  <si>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</si>
  <si>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</si>
  <si>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</si>
  <si>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</si>
  <si>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</si>
  <si>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потребителей*.</t>
  </si>
  <si>
    <t>Обращения потребителей, содержащие жалобу**</t>
  </si>
  <si>
    <t>Мероприятия по результатам обращения***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</si>
  <si>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сетям*,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</si>
  <si>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суда**, штуки, в том числе: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</si>
  <si>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сетям***, дней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</si>
  <si>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суда****, штуки, в том числе:</t>
  </si>
  <si>
    <t>Средняя продолжительность исполнения договоров об осуществлении технологического присоединения к электрическим сетям*****, дней</t>
  </si>
  <si>
    <t>Наименование объекта электросетевого хозяйства</t>
  </si>
  <si>
    <t>Уровень физического износа объекта, %</t>
  </si>
  <si>
    <t>Кол-во точек</t>
  </si>
  <si>
    <t>Количество точек поставки всего и точек поставки оборудованных приборами учета электрической энергии</t>
  </si>
  <si>
    <t>в т.ч. точек поставки. Оборудованных приборами учета электрической энергии</t>
  </si>
  <si>
    <t>в т.ч. физические лица</t>
  </si>
  <si>
    <t>приборы учета с возможностью дистанционного сбора данных</t>
  </si>
  <si>
    <t>6 (10) кВ</t>
  </si>
  <si>
    <t>0,4 кВ</t>
  </si>
  <si>
    <t>Кол-во с разбивкой по уровням напряжения</t>
  </si>
  <si>
    <t>Кол-во в динамике</t>
  </si>
  <si>
    <t>Выключатель маслянный, шт.</t>
  </si>
  <si>
    <t>Выключатель автоматический, шт.</t>
  </si>
  <si>
    <t>Выключатель вакуумный, шт.</t>
  </si>
  <si>
    <t>Выключатель нагрузки, шт.</t>
  </si>
  <si>
    <t>Разъединитель, шт.</t>
  </si>
  <si>
    <t>Трансформатор силовой трехфазный 6(10)/0,4, шт.</t>
  </si>
  <si>
    <t>4</t>
  </si>
  <si>
    <t>47-100</t>
  </si>
  <si>
    <t>50-100</t>
  </si>
  <si>
    <t>55-100</t>
  </si>
  <si>
    <t>53-100</t>
  </si>
  <si>
    <t>25-100</t>
  </si>
  <si>
    <t>28-100</t>
  </si>
  <si>
    <t xml:space="preserve"> в т.ч. юридические лица</t>
  </si>
  <si>
    <t xml:space="preserve"> в т.ч. МКД</t>
  </si>
  <si>
    <t xml:space="preserve"> -</t>
  </si>
  <si>
    <t xml:space="preserve"> - </t>
  </si>
  <si>
    <t xml:space="preserve"> +</t>
  </si>
  <si>
    <t xml:space="preserve">  +</t>
  </si>
  <si>
    <t>филиал "Ковдорская электросеть"</t>
  </si>
  <si>
    <t>филиал "Заполярная горэлектросеть"</t>
  </si>
  <si>
    <t>ИТОГО    АО "МЭС"</t>
  </si>
  <si>
    <t>ИТОГО  АО "МЭС"</t>
  </si>
  <si>
    <t>Всего:</t>
  </si>
  <si>
    <t xml:space="preserve">Количество подстанций </t>
  </si>
  <si>
    <t>Итого:</t>
  </si>
  <si>
    <t>филиал "Ковдорская электросеть"  (шт)</t>
  </si>
  <si>
    <t>филиал "Заполярная горэлектросеть" (шт)</t>
  </si>
  <si>
    <t>ИТОГО  АО "МЭС" (шт)</t>
  </si>
  <si>
    <t>ИТОГО  АО  "МЭС"</t>
  </si>
  <si>
    <t>Филиал "Заполярная горэлектросеть"</t>
  </si>
  <si>
    <t>ИТОГО АО "МЭС"</t>
  </si>
  <si>
    <t>Филиал АО "МЭС" "Заполярная горэлектросеть"</t>
  </si>
  <si>
    <t>№ п/п</t>
  </si>
  <si>
    <t>ИТОГО   АО "МЭС"</t>
  </si>
  <si>
    <t>(81535) 7-37-36;                           7-37-37;                                                       res-sekretar@mures.ru; res-aleksey@mures.ru</t>
  </si>
  <si>
    <t>80-100</t>
  </si>
  <si>
    <t>20</t>
  </si>
  <si>
    <t>0-100</t>
  </si>
  <si>
    <t>184421 Мурманская область п. Никель, ул. Сидоровича, 16</t>
  </si>
  <si>
    <t>(815-54)5-15-06</t>
  </si>
  <si>
    <t>(81554)5-15-06</t>
  </si>
  <si>
    <t>35кВ</t>
  </si>
  <si>
    <t>Трансформатор силовой трехфазный 35/6, шт.</t>
  </si>
  <si>
    <r>
      <t xml:space="preserve">Трансформаторные  подстанции  и распределительные подстании </t>
    </r>
    <r>
      <rPr>
        <b/>
        <sz val="11"/>
        <color indexed="8"/>
        <rFont val="Calibri"/>
        <family val="2"/>
      </rPr>
      <t xml:space="preserve">(6(10)/0,4 кВ)  </t>
    </r>
  </si>
  <si>
    <r>
      <t>Трансформаторные подстанции</t>
    </r>
    <r>
      <rPr>
        <b/>
        <sz val="11"/>
        <color indexed="8"/>
        <rFont val="Calibri"/>
        <family val="2"/>
      </rPr>
      <t xml:space="preserve"> (35 кВ)</t>
    </r>
  </si>
  <si>
    <t>(81554)5-05-19</t>
  </si>
  <si>
    <t>Ковдор</t>
  </si>
  <si>
    <t>Заполярный</t>
  </si>
  <si>
    <t>Информация о прекращениях передачи электрической энергии АО "МЭС"</t>
  </si>
  <si>
    <t>в отношении потребителей за  2015  год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</si>
  <si>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</si>
  <si>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</si>
  <si>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Наименование документа первичной информации (акт расследования, журнал отключений и т.п.)</t>
  </si>
  <si>
    <t>Продолжительность технологического нарушения, час.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</si>
  <si>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</si>
  <si>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Количество потребителей услуг (производители электрической энергии), в отношении  которых произошло прекращение передачи электрической энергии (шт)</t>
  </si>
  <si>
    <t>запись от 13.01.2015</t>
  </si>
  <si>
    <t>Выключатель 0,4 кВ на ТП-57 РУ-0,4кВ В-2</t>
  </si>
  <si>
    <t>Журнал учета аварий и отказов в работе</t>
  </si>
  <si>
    <t>запись от 21.01.2015</t>
  </si>
  <si>
    <t>Линия Л-9 от ПС-41 ЗРУ-10кВ Ф-9</t>
  </si>
  <si>
    <t>запись от 24.01.2015</t>
  </si>
  <si>
    <t>Предохранители в ТП-59 РУ-0,4кВ ф.2,ф.4</t>
  </si>
  <si>
    <t>запись от 29.01.2015</t>
  </si>
  <si>
    <t>запись от 03.02.2015</t>
  </si>
  <si>
    <t>запись от 05.02.2015</t>
  </si>
  <si>
    <t>запись от 09.02.2015</t>
  </si>
  <si>
    <t>запись от 13.02.2015</t>
  </si>
  <si>
    <t>Линия Л-1 от ПС-41 ЗРУ-10кВ Ф-18</t>
  </si>
  <si>
    <t>запись от 07.03.2015</t>
  </si>
  <si>
    <t>Линия Л-51 от ПС -368 II сек. СбШ-6 ф.22</t>
  </si>
  <si>
    <t>запись от 14.03.2015</t>
  </si>
  <si>
    <t>Линия Л-9 от ПС -41 10 КВ Ф -9</t>
  </si>
  <si>
    <t>запись от 29.03.2015</t>
  </si>
  <si>
    <t>Автомат 0,4 кВ в ТП-63 РУ-0,4кВ, ф.2</t>
  </si>
  <si>
    <t>запись от 03.05.2015</t>
  </si>
  <si>
    <t>запись от 07.05.2015</t>
  </si>
  <si>
    <t>запись от 20.05.2015</t>
  </si>
  <si>
    <t>запись от 22.05.2015</t>
  </si>
  <si>
    <t xml:space="preserve">Линия Л-1 от ПС-41 ЗРУ-10кВ ф-18 </t>
  </si>
  <si>
    <t xml:space="preserve">Линия-0,4 кВ от ТП-54 РУ-0,4кВ ф-12 до СОШ №2 </t>
  </si>
  <si>
    <t>запись от 24.05.2015</t>
  </si>
  <si>
    <t>Линия Л-55 от ПС-40А 6 кВ ф-55</t>
  </si>
  <si>
    <t>запись от 29.06.2015</t>
  </si>
  <si>
    <t>Линия Л-4 от ПС-368 ф.21</t>
  </si>
  <si>
    <t>запись от 01.07.2015</t>
  </si>
  <si>
    <t>Линия Л-52 от ПС -368 I сек. СбШ-6 ф.2</t>
  </si>
  <si>
    <t>запись от 11.08.2015</t>
  </si>
  <si>
    <t xml:space="preserve">Линия Л-4 и Л-51 от ПС-368 ЗРУ-6кВ II сек.  ПС-368 </t>
  </si>
  <si>
    <t>запись от 23.11.2015</t>
  </si>
  <si>
    <t>Выключатель 6 кВ на РП-2, РУ-0,4кВ I сек.сб.ш. В-1</t>
  </si>
  <si>
    <t>запись от 01.12.2015</t>
  </si>
  <si>
    <t>Выключатель 6 кВ на РП-2 РУ-6кВ, яч.10 К2-62 ф.3</t>
  </si>
  <si>
    <t>запись от 19.12.2015</t>
  </si>
  <si>
    <t>Предохранитель в ТП-47 РУ-0,4 кВ ф.4</t>
  </si>
  <si>
    <t>запись от 23.12.2015</t>
  </si>
  <si>
    <t>Линия-6 кВ от РП-1 РУ-6кВ яч.13  к1-68</t>
  </si>
  <si>
    <t>запись от 30.03.2015</t>
  </si>
  <si>
    <t>Линия 10 кВ Л-14/17/17</t>
  </si>
  <si>
    <t>запись от 04.04.2015</t>
  </si>
  <si>
    <t>Линия 10 кВ ОЛ-3/25</t>
  </si>
  <si>
    <t>запись от 15.01.2015</t>
  </si>
  <si>
    <t>Линия 10 кВ Л-3</t>
  </si>
  <si>
    <t>запись от 20.02.2015</t>
  </si>
  <si>
    <t>Рубильник 0,4 кВ</t>
  </si>
  <si>
    <t>запись от 09.03.2014</t>
  </si>
  <si>
    <t>Линия 0,4 кВ Л-12/8</t>
  </si>
  <si>
    <t>запись от 24.11.2015</t>
  </si>
  <si>
    <t>Линия 10 кВ 72/5</t>
  </si>
  <si>
    <t xml:space="preserve">Линия 10 кВ Л-6/37 (ТП-32) </t>
  </si>
  <si>
    <t xml:space="preserve">Линия 10 кВ Л-6/37 (ТП-13) </t>
  </si>
  <si>
    <t xml:space="preserve">Линия 10 кВ Л-6/37 (ТП-37) </t>
  </si>
  <si>
    <t xml:space="preserve">Линия 10 кВ Л-6/37 (ТП-6) </t>
  </si>
  <si>
    <t>запись от 16.11.2015</t>
  </si>
  <si>
    <t>Линия 0,4 кВ Л-49/2</t>
  </si>
  <si>
    <t>в том числе</t>
  </si>
  <si>
    <t xml:space="preserve">                    Исполнительный директор                           Логинов В.В.                                                                                                  </t>
  </si>
  <si>
    <t xml:space="preserve">                                              (должность)                                                                (Ф.И.О.)                                                                (подпись)                                       </t>
  </si>
  <si>
    <t>в отношении потребителей за  2014  год</t>
  </si>
  <si>
    <t>Филиал ОАО "Мурманэнергосбыт" "Ковдорская электросеть"</t>
  </si>
  <si>
    <t>Линия Л-15 от ПС-41 ЗРУ-10кВ ф-15</t>
  </si>
  <si>
    <t>Выключатель 0,4 кВ на ТП -66 РУ-0.4кВ   В-2</t>
  </si>
  <si>
    <t>Линия 0,4 кВ от ТП -5 РУ-0.4кВ ф -2</t>
  </si>
  <si>
    <t>Линия  от ТП - 62 панель НО</t>
  </si>
  <si>
    <t>Линия  от ТП -66 панель НО</t>
  </si>
  <si>
    <t>Предохранитель в КТП -18, РУ-6кВ ф. "В"</t>
  </si>
  <si>
    <t>Линия к.44-51 от РП-1 РУ-6кВ яч.12</t>
  </si>
  <si>
    <t>Выключатель 6 кВ на РП-1 РУ-6 кВ яч.13 к1-68</t>
  </si>
  <si>
    <t>Линия от ТП-57 на ул.Слюдяная 7</t>
  </si>
  <si>
    <t>Линия на ул. Лесная д.2</t>
  </si>
  <si>
    <t xml:space="preserve">Линия Л-12 от ТП-627 </t>
  </si>
  <si>
    <t xml:space="preserve">Линии Л-4, Л-3 от ПС-368 </t>
  </si>
  <si>
    <t>Линия К 65 - 44</t>
  </si>
  <si>
    <t>Выключатель 6 кВ на РП-1 РУ-6кВ яч.13  к1-68</t>
  </si>
  <si>
    <t>Выключатель 6 кВ на РП-1 РУ-6кВ яч.7  к1-67</t>
  </si>
  <si>
    <t>Выключатель 6 кВ на РП-1 РУ-6кВ яч.7</t>
  </si>
  <si>
    <t>Выключатель 6 кВ на РП - 1 яч.13 к 1 -68</t>
  </si>
  <si>
    <t>Линия-0,4кВ от КТП-17</t>
  </si>
  <si>
    <t>Филиал ОАО "Мурманэнергосбыт" "Заполярная горэлектросеть"</t>
  </si>
  <si>
    <t>линия Л-23</t>
  </si>
  <si>
    <t>линия Л-65/3</t>
  </si>
  <si>
    <t>Линия Л-3</t>
  </si>
  <si>
    <t>Масляный выключатель</t>
  </si>
  <si>
    <t>линия Л-49/4-3</t>
  </si>
  <si>
    <t>Линия Л-3 после ПП/6</t>
  </si>
  <si>
    <t>Линия Л-23</t>
  </si>
  <si>
    <t>линия  Л-24/10</t>
  </si>
  <si>
    <t>Силовой трансформатор Т-1 ТП-7</t>
  </si>
  <si>
    <t>запись от 26.01.2014</t>
  </si>
  <si>
    <t>запись от 12.02.2014</t>
  </si>
  <si>
    <t>запись от 08.03.2014</t>
  </si>
  <si>
    <t>запись от 31.03.2014</t>
  </si>
  <si>
    <t>запись от 17.04.2014</t>
  </si>
  <si>
    <t>запись от 18.08.2014</t>
  </si>
  <si>
    <t>запись от 20.08.2014</t>
  </si>
  <si>
    <t>запись от 03.09.2014</t>
  </si>
  <si>
    <t>запись от 12.09.2014</t>
  </si>
  <si>
    <t>запись от 14.09.2014</t>
  </si>
  <si>
    <t>запись от 18.09.2014</t>
  </si>
  <si>
    <t>запись от 20.09.2014</t>
  </si>
  <si>
    <t>запись от 26.09.2014</t>
  </si>
  <si>
    <t>запись от 20.11.2014</t>
  </si>
  <si>
    <t>запись от 03.12.2014</t>
  </si>
  <si>
    <t>запись от 07.12.2014</t>
  </si>
  <si>
    <t>запись от 21.01.2014</t>
  </si>
  <si>
    <t>запись от 30.01.2014</t>
  </si>
  <si>
    <t>запись от 10.07.2014</t>
  </si>
  <si>
    <t>запись от 13.07.2014</t>
  </si>
  <si>
    <t>запись от 05.07.2014</t>
  </si>
  <si>
    <t>запись от 22.07.2014</t>
  </si>
  <si>
    <t>запись от 31.07.2014</t>
  </si>
  <si>
    <t>запись от 07.08.2014</t>
  </si>
  <si>
    <t>запись от 19.10.2014</t>
  </si>
  <si>
    <t>запись от 26.10.2014</t>
  </si>
  <si>
    <t>запись от 04.11.2014</t>
  </si>
  <si>
    <t>запись от 16.12.2014</t>
  </si>
  <si>
    <t>Журнал отключений</t>
  </si>
  <si>
    <t>10 (10.5)</t>
  </si>
  <si>
    <t>Проведение капитальных и текущих ремонтов электрооборудования и линий электропередач.</t>
  </si>
  <si>
    <t>Реконструкция  и модернизация электрооборулования и линий  электропередач  в рамках договора  аренды  с  собственником  имущества  ГОУТП "ТЭКОС".</t>
  </si>
  <si>
    <t>в отношении потребителей за  2016  год</t>
  </si>
  <si>
    <t>запись от 13.01.2016</t>
  </si>
  <si>
    <t>Линия 9 от ПС - 41, Ф.9</t>
  </si>
  <si>
    <t>запись от 14.01.2016</t>
  </si>
  <si>
    <t>Линия 15 от ПС-41, Ф.15</t>
  </si>
  <si>
    <t>запись от 16.01.2016</t>
  </si>
  <si>
    <t>запись от 18.01.2016</t>
  </si>
  <si>
    <t>запись от 26.01.2016</t>
  </si>
  <si>
    <t>Линия 9 от ПС - 41 яч.9 Ф 9</t>
  </si>
  <si>
    <t>запись от 27.01.2016</t>
  </si>
  <si>
    <t>запись от 04.02.2016</t>
  </si>
  <si>
    <t>Линия 9 от ПС-41, Ф.9</t>
  </si>
  <si>
    <t>запись от 08.02.2016</t>
  </si>
  <si>
    <t>Линия 6 от ПС-41, Ф.15</t>
  </si>
  <si>
    <t>запись от 01.04.2016</t>
  </si>
  <si>
    <t xml:space="preserve">оп.2 ВЛ-6 кВ ф.15 от I сек. СбШ-6 РП-2 </t>
  </si>
  <si>
    <t>Л-51 6кВ, Л-53 6кВ</t>
  </si>
  <si>
    <t>запись от 27.04.2016</t>
  </si>
  <si>
    <t xml:space="preserve">К2-59 ф.2  </t>
  </si>
  <si>
    <t>запись от 02.05.2016</t>
  </si>
  <si>
    <t>ПС-368 ф.2</t>
  </si>
  <si>
    <t>запись от 04.05.2016</t>
  </si>
  <si>
    <t>кабеля К46 - Т-2 в яч.3 РУ-6кВ ТП-46</t>
  </si>
  <si>
    <t>запись от 17.05.2016</t>
  </si>
  <si>
    <t xml:space="preserve">Л-9  от ЯКНО-14 до РП-140   </t>
  </si>
  <si>
    <t>запись от 26.05.2016</t>
  </si>
  <si>
    <t xml:space="preserve">кабель К42 - 68 яч.6 </t>
  </si>
  <si>
    <t>запись от 11.06.2016</t>
  </si>
  <si>
    <t>кабельК2 - оп.2,1 ВЛ-6кВ от ГПП-40А ф.36</t>
  </si>
  <si>
    <t>запись от 22.08.2016</t>
  </si>
  <si>
    <t>РП-17, РУ-6кВ, яч.22</t>
  </si>
  <si>
    <t>запись от 26.08.2016</t>
  </si>
  <si>
    <t>РП-2, яч.13, ф-15</t>
  </si>
  <si>
    <t xml:space="preserve"> опора 3 от РП-17, РУ-6кВ, яч.3 ф11</t>
  </si>
  <si>
    <t>запись от 28.10.2016</t>
  </si>
  <si>
    <t xml:space="preserve">Ка 6кВ ПС40А  ф.46 </t>
  </si>
  <si>
    <t>запись от 3.09.2016</t>
  </si>
  <si>
    <t xml:space="preserve">Кб 6кВ ПС40А  ф.46 </t>
  </si>
  <si>
    <t>запись от 13.09.2016</t>
  </si>
  <si>
    <t xml:space="preserve"> кабель Ка 40А ф.15 - оп.1  ВЛ-6кВ ф.15 на оп.1</t>
  </si>
  <si>
    <t>запись от 20.09.2016</t>
  </si>
  <si>
    <t xml:space="preserve"> Кв 40А ф.10 - оп.1 Л-10</t>
  </si>
  <si>
    <t>запись от 17.09.2016</t>
  </si>
  <si>
    <t>Кв 40А - оп.1 Л-11</t>
  </si>
  <si>
    <t>запись от 9.12.2016</t>
  </si>
  <si>
    <t>Л-15 ПС 41</t>
  </si>
  <si>
    <t>запись от 15.12.2016</t>
  </si>
  <si>
    <t>привод "В" ПЭ-11 на РП-1 РУ-6кВ яч.9 К1-2 ф.7</t>
  </si>
  <si>
    <t>запись от 21.12.2016</t>
  </si>
  <si>
    <t>опора №170 Л-15 ПС 41</t>
  </si>
  <si>
    <t>запись от 28.12.2016</t>
  </si>
  <si>
    <t>ТП-49 РУ-0,4кВ, ф.15</t>
  </si>
  <si>
    <t>запись от 26.12.2016</t>
  </si>
  <si>
    <t>опора 2 от ПС-40А, ф.30</t>
  </si>
  <si>
    <t>Предохранитель в ТП-67 РУ 0,4 кВ</t>
  </si>
  <si>
    <t>Линия 0,4 кВ КЛ-65/3а</t>
  </si>
  <si>
    <t>Линия 0,4 кВ ВЛ-24/7-1</t>
  </si>
  <si>
    <t>Линия 10 кВ КЛ-2/17</t>
  </si>
  <si>
    <t>Линия 10 кВ Л-1/7</t>
  </si>
  <si>
    <t>Линия 0,4 кВ 68/14</t>
  </si>
  <si>
    <t>Трансформаторная подстанция КТП-30 замена трансформатора</t>
  </si>
  <si>
    <t>Трансформаторная подстанция ТП-12</t>
  </si>
  <si>
    <t>Линия 10 кВ  КЛ-3/12а</t>
  </si>
  <si>
    <t>Линия 0,4 кВ ВЛ-49/2-7</t>
  </si>
  <si>
    <t>Предохранитель в Р-46 0,4 кВ</t>
  </si>
  <si>
    <t>Рубильник 0,4 кВ Р-45</t>
  </si>
  <si>
    <t>Линия 0,4 кВ  ВЛ-20/4</t>
  </si>
  <si>
    <t>Линия 0,4 кВ ВЛ-12/6</t>
  </si>
  <si>
    <t>Предохранитель ПК-6 в КТП-28</t>
  </si>
  <si>
    <t>Линия 0,4 кВ ТП-30- Ру 0,4 кВ "Стройка"</t>
  </si>
  <si>
    <t>Предохранитель 0,4 кВ ТП-15</t>
  </si>
  <si>
    <t>Линия 0,4 кВ  ВЛ-13/7</t>
  </si>
  <si>
    <t>Предохранитель 0,4 кВ в ТП-20</t>
  </si>
  <si>
    <t>линия 10 кВ Л-3</t>
  </si>
  <si>
    <t>линия 0,4 кВ К-65/3а</t>
  </si>
  <si>
    <t>линия 0,4 ВЛ-49/7</t>
  </si>
  <si>
    <t>Линия 0,4 кВ ВЛ-20/7</t>
  </si>
  <si>
    <t>итого: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</si>
  <si>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 .</t>
  </si>
  <si>
    <t>2016 год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</si>
  <si>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</si>
  <si>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</si>
  <si>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</si>
  <si>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</si>
  <si>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</si>
  <si>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</si>
  <si>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</si>
  <si>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</si>
  <si>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</si>
  <si>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</si>
  <si>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</si>
  <si>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</si>
  <si>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</si>
  <si>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</si>
  <si>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</si>
  <si>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</si>
  <si>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</si>
  <si>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</si>
  <si>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</si>
  <si>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</si>
  <si>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</si>
  <si>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</si>
  <si>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</si>
  <si>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</si>
  <si>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</si>
  <si>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</si>
  <si>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</si>
  <si>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</si>
  <si>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</si>
  <si>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</si>
  <si>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</si>
  <si>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</si>
  <si>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</si>
  <si>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</si>
  <si>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</si>
  <si>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</si>
  <si>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</si>
  <si>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 в т.ч. ч/з безхозяйные  сети юридические лица</t>
  </si>
  <si>
    <t>2017 год</t>
  </si>
  <si>
    <t>Длинна воздушных и кабельных линий с разбивкой по уровням напряжения   2016 - 2017гг</t>
  </si>
  <si>
    <t xml:space="preserve">Мероприятия на 2018 год: выполнение планов текущего и капитального ремонта.  </t>
  </si>
  <si>
    <t>в отношении потребителей за  2017  год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</si>
  <si>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</si>
  <si>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</si>
  <si>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</si>
  <si>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</si>
  <si>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</si>
  <si>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9х13</t>
  </si>
  <si>
    <t>9х22</t>
  </si>
  <si>
    <t>АО "Мурманэнергосбыт" Филиал "Ковдорская электросеть"</t>
  </si>
  <si>
    <t>Л-9</t>
  </si>
  <si>
    <t>В1</t>
  </si>
  <si>
    <t>АО "Мурманэнергосбыт" Филиал "Заполярная горэлектросеть"</t>
  </si>
  <si>
    <t>Л-69/6</t>
  </si>
  <si>
    <t>ТП-63, РУ -0,4 кВ, В-2</t>
  </si>
  <si>
    <t>Л-16/5ж</t>
  </si>
  <si>
    <t>ТП-56, РУ - 6 кВ, яч.1</t>
  </si>
  <si>
    <t>П</t>
  </si>
  <si>
    <t>ТП-64</t>
  </si>
  <si>
    <t>ТП-61, РУ - 0,4 кВ, ф.13,15</t>
  </si>
  <si>
    <t>ТП-62</t>
  </si>
  <si>
    <t>РП-17, РУ-6 кВ, яч.22, К17-Л-38</t>
  </si>
  <si>
    <t>ТП-4.</t>
  </si>
  <si>
    <t>ТП-44, РУ - 0,4 кВ, ф.8</t>
  </si>
  <si>
    <t>В</t>
  </si>
  <si>
    <t>ТП-16</t>
  </si>
  <si>
    <t>ТП-44, РУ - 0,4 кВ, ф.15</t>
  </si>
  <si>
    <t>КТП-88</t>
  </si>
  <si>
    <t>ТП-67</t>
  </si>
  <si>
    <t>ТП-24</t>
  </si>
  <si>
    <t>ТП-3</t>
  </si>
  <si>
    <t>ТП-9</t>
  </si>
  <si>
    <t>Л-36</t>
  </si>
  <si>
    <t>Л-11, 6 кВ, оп.25,26</t>
  </si>
  <si>
    <t>КТП-15</t>
  </si>
  <si>
    <t>Л-68/5</t>
  </si>
  <si>
    <t>Л-4/5</t>
  </si>
  <si>
    <t>Л-21/2</t>
  </si>
  <si>
    <t>ТП-20</t>
  </si>
  <si>
    <t>ТП-22</t>
  </si>
  <si>
    <t>Л -16/5</t>
  </si>
  <si>
    <t>Л-43/8</t>
  </si>
  <si>
    <t>Л-43/9</t>
  </si>
  <si>
    <t>ТП-18</t>
  </si>
  <si>
    <t>ТП -2</t>
  </si>
  <si>
    <t>П/СТ-26</t>
  </si>
  <si>
    <t>ТП -6</t>
  </si>
  <si>
    <t>Л-15</t>
  </si>
  <si>
    <t>Л-38</t>
  </si>
  <si>
    <t>Л-52</t>
  </si>
  <si>
    <t>Л-54/8</t>
  </si>
  <si>
    <t>Л-4 оп.42</t>
  </si>
  <si>
    <t>ТП-71, РУ- 0,4кВ, яч.4, В-2</t>
  </si>
  <si>
    <t>Л-2 оп.2,4,11,12</t>
  </si>
  <si>
    <t>ВЛ-1, 0,4 кВ, ТП-124</t>
  </si>
  <si>
    <t>ТП-43</t>
  </si>
  <si>
    <t>Л-16/6</t>
  </si>
  <si>
    <t>Л-6/14А</t>
  </si>
  <si>
    <t>Л -6/14</t>
  </si>
  <si>
    <t>Л-66/14</t>
  </si>
  <si>
    <t>ТП-29</t>
  </si>
  <si>
    <t>Л-66/2</t>
  </si>
  <si>
    <t>Л-66/4</t>
  </si>
  <si>
    <t>Л-13/8</t>
  </si>
  <si>
    <t>Л-13/8А</t>
  </si>
  <si>
    <t>ТП-21</t>
  </si>
  <si>
    <t>ТП-37</t>
  </si>
  <si>
    <t>ТП-32</t>
  </si>
  <si>
    <t>ВЛ-3</t>
  </si>
  <si>
    <t>К43-ЯКНО 8</t>
  </si>
  <si>
    <t>ТП-45 РУ-0,4 кВ ф.9</t>
  </si>
  <si>
    <t>Л-34/9</t>
  </si>
  <si>
    <t>Л-20/4</t>
  </si>
  <si>
    <t>Л-442</t>
  </si>
  <si>
    <t>Л-452</t>
  </si>
  <si>
    <t>ТП-65</t>
  </si>
  <si>
    <t>ТП -15</t>
  </si>
  <si>
    <t>ТП-52</t>
  </si>
  <si>
    <t>Л-38/1-7</t>
  </si>
  <si>
    <t>Л-74/17</t>
  </si>
  <si>
    <t>ТП-68</t>
  </si>
  <si>
    <t>КТП-27</t>
  </si>
  <si>
    <t>ТП-87</t>
  </si>
  <si>
    <t>ТП-35</t>
  </si>
  <si>
    <t>Л-3/6</t>
  </si>
  <si>
    <t>Л-3/4</t>
  </si>
  <si>
    <t>Л-3/7</t>
  </si>
  <si>
    <t>Л-20/12</t>
  </si>
  <si>
    <t>Л-2/2</t>
  </si>
  <si>
    <t>Л-11/7</t>
  </si>
  <si>
    <t>Л-49/1/3</t>
  </si>
  <si>
    <t>КЛ-291</t>
  </si>
  <si>
    <t>КЛ-432</t>
  </si>
  <si>
    <t>КЛ-722</t>
  </si>
  <si>
    <t>КЛ-699</t>
  </si>
  <si>
    <t>КЛ-400</t>
  </si>
  <si>
    <t>КЛ-446</t>
  </si>
  <si>
    <t>КЛ-405</t>
  </si>
  <si>
    <t>КТП-28</t>
  </si>
  <si>
    <t>КЛ-457</t>
  </si>
  <si>
    <t>КЛ-278</t>
  </si>
  <si>
    <t>КЛ-427</t>
  </si>
  <si>
    <t>КЛ-356</t>
  </si>
  <si>
    <t>КЛ-286</t>
  </si>
  <si>
    <t>КЛ-287</t>
  </si>
  <si>
    <t>КЛ-299</t>
  </si>
  <si>
    <t>КЛ-283</t>
  </si>
  <si>
    <t>КЛ-292</t>
  </si>
  <si>
    <t>КЛ-290</t>
  </si>
  <si>
    <t>КЛ-210</t>
  </si>
  <si>
    <t>КЛ-654</t>
  </si>
  <si>
    <t>КЛ-650</t>
  </si>
  <si>
    <t>КЛ-651</t>
  </si>
  <si>
    <t>КЛ-423</t>
  </si>
  <si>
    <t>КЛ-411</t>
  </si>
  <si>
    <t>КЛ-422</t>
  </si>
  <si>
    <t>КЛ-426</t>
  </si>
  <si>
    <t>ВЛ-37</t>
  </si>
  <si>
    <t>ВЛ 0,4 кВ ТП-69-Баштыркова 4,6</t>
  </si>
  <si>
    <t>ТП-74</t>
  </si>
  <si>
    <t>Л-49/4-3</t>
  </si>
  <si>
    <t>Л-43/5</t>
  </si>
  <si>
    <t>Л-15/1</t>
  </si>
  <si>
    <t>Л-38/2-7</t>
  </si>
  <si>
    <t>КЛ-802</t>
  </si>
  <si>
    <t>КЛ-258</t>
  </si>
  <si>
    <t>КЛ-269</t>
  </si>
  <si>
    <t>КЛ-264</t>
  </si>
  <si>
    <t>КЛ-700</t>
  </si>
  <si>
    <t>КЛ-696</t>
  </si>
  <si>
    <t>КЛ-697</t>
  </si>
  <si>
    <t>КЛ-238</t>
  </si>
  <si>
    <t>КЛ-225</t>
  </si>
  <si>
    <t>КЛ-226</t>
  </si>
  <si>
    <t>КЛ-804</t>
  </si>
  <si>
    <t>КЛ-472</t>
  </si>
  <si>
    <t>КЛ-214</t>
  </si>
  <si>
    <t>КЛ-204</t>
  </si>
  <si>
    <t>КЛ-201</t>
  </si>
  <si>
    <t>КЛ-398</t>
  </si>
  <si>
    <t>КЛ-354</t>
  </si>
  <si>
    <t>КЛ-218</t>
  </si>
  <si>
    <t>КЛ-433</t>
  </si>
  <si>
    <t>КЛ-431</t>
  </si>
  <si>
    <t>КЛ-698</t>
  </si>
  <si>
    <t>Л-24/7-1</t>
  </si>
  <si>
    <t>Л-69/6-1</t>
  </si>
  <si>
    <t>ТП - 15</t>
  </si>
  <si>
    <t>Л-21/6</t>
  </si>
  <si>
    <t>КЛ-260</t>
  </si>
  <si>
    <t>КЛ-362</t>
  </si>
  <si>
    <t>КЛ-339</t>
  </si>
  <si>
    <t>КЛ-279</t>
  </si>
  <si>
    <t>КЛ-280</t>
  </si>
  <si>
    <t>КЛ-251</t>
  </si>
  <si>
    <t>КЛ-250</t>
  </si>
  <si>
    <t>КЛ-252</t>
  </si>
  <si>
    <t>КЛ-313</t>
  </si>
  <si>
    <t>КЛ-323</t>
  </si>
  <si>
    <t>КЛ-316</t>
  </si>
  <si>
    <t>КЛ-309</t>
  </si>
  <si>
    <t>КЛ-602</t>
  </si>
  <si>
    <t>КЛ-781</t>
  </si>
  <si>
    <t>КЛ-468</t>
  </si>
  <si>
    <t>КЛ-721</t>
  </si>
  <si>
    <t>КЛ-720</t>
  </si>
  <si>
    <t>КЛ-605</t>
  </si>
  <si>
    <t>КЛ-498</t>
  </si>
  <si>
    <t>КЛ-607</t>
  </si>
  <si>
    <t>КЛ-496</t>
  </si>
  <si>
    <t>КЛ-495</t>
  </si>
  <si>
    <t>КЛ-612</t>
  </si>
  <si>
    <t>КЛ-614</t>
  </si>
  <si>
    <t>ТП-17</t>
  </si>
  <si>
    <t>ТП- 6</t>
  </si>
  <si>
    <t>ТП-75</t>
  </si>
  <si>
    <t>КЛ-11</t>
  </si>
  <si>
    <t>КЛ-12</t>
  </si>
  <si>
    <t>ВЛ-15</t>
  </si>
  <si>
    <t>КТП-18</t>
  </si>
  <si>
    <t>Л- 4</t>
  </si>
  <si>
    <t>КТП-19</t>
  </si>
  <si>
    <t>КТП-89</t>
  </si>
  <si>
    <t>Л-75/5</t>
  </si>
  <si>
    <t>РП-2</t>
  </si>
  <si>
    <t>ТП-25</t>
  </si>
  <si>
    <t>Л-в/ч</t>
  </si>
  <si>
    <t>ТП-10</t>
  </si>
  <si>
    <t>ТП-41 РУ-0,4кВ ф.4</t>
  </si>
  <si>
    <t xml:space="preserve">ТП-66 </t>
  </si>
  <si>
    <t>ТП-64 РУ 6 кВ яч.3</t>
  </si>
  <si>
    <t>ФИЛИАЛ "КОВДОРСКАЯ ЭЛЕКТРОСЕТЬ" по всем прекращениям передачи электрической энергии за отчетный период:</t>
  </si>
  <si>
    <t>И</t>
  </si>
  <si>
    <t>0; 1</t>
  </si>
  <si>
    <t>- по ограничениям, связанным с проведением ремонтных работ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</si>
  <si>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</si>
  <si>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</si>
  <si>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</si>
  <si>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</si>
  <si>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</si>
  <si>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1</t>
  </si>
  <si>
    <t>ФИЛИАЛ "ЗАПОЛЯРНАЯ ГОРЭЛЕКТРОСЕТЬ"  по всем прекращениям передачи электрической энергии за отчетный период:</t>
  </si>
  <si>
    <t>ИТОГО по всем прекращениям передачи электрической энергии за отчетный период: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</si>
  <si>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</si>
  <si>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- по внерегламентным отключениям 
учитываемым при расчете показателей надежности, в том числе индикативных показателей надежности</t>
  </si>
  <si>
    <t xml:space="preserve">Дата </t>
  </si>
  <si>
    <t>Оперативный журнал</t>
  </si>
  <si>
    <t xml:space="preserve"> </t>
  </si>
  <si>
    <t>Напряжение, кВ</t>
  </si>
  <si>
    <t>ТП-103</t>
  </si>
  <si>
    <t>ТП-104</t>
  </si>
  <si>
    <t>ТП-106</t>
  </si>
  <si>
    <t>ТП-107</t>
  </si>
  <si>
    <t>проверка и испытания диэлектрических средств защиты;</t>
  </si>
  <si>
    <t>определение места повреждения силовых кабельных линий;</t>
  </si>
  <si>
    <t>пусконаладочные работы электрооборудования 10/0,4кВ, устройств релейной защиты и автоматики;</t>
  </si>
  <si>
    <t>Обеспечение организации очного обслуживания потребителей.</t>
  </si>
  <si>
    <t>Развитие коммуникационных навыков персонала, взаимодействующего с потребителями, за счет проведения внутреннего обучения.</t>
  </si>
  <si>
    <t>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</si>
  <si>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>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</si>
  <si>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Проведение опросов потребителей с целью выявления мнения потребителей о качестве обслуживания.</t>
  </si>
  <si>
    <t>Другие мероприятия, направленные на повышение качества обслуживания потребителей и предусмотренные действующим законодательством.</t>
  </si>
  <si>
    <t>Обеспечение доступности обслуживания потребителей сетевой организации путем организации очного обслуживания: пункт обслуживания работает 36 часов в неделю.</t>
  </si>
  <si>
    <t>Обеспечение доступности информации за счет обновления информации на стендах, а также на официальном сайте сетевой организации в разделе «Потребителям услуг по передаче электрической энергии».</t>
  </si>
  <si>
    <t>Всего  2017г</t>
  </si>
  <si>
    <r>
      <t xml:space="preserve">Всего </t>
    </r>
    <r>
      <rPr>
        <sz val="14"/>
        <color indexed="8"/>
        <rFont val="Calibri"/>
        <family val="2"/>
      </rPr>
      <t>2017г</t>
    </r>
  </si>
  <si>
    <t>02.02.2017</t>
  </si>
  <si>
    <t>09.02.2017</t>
  </si>
  <si>
    <t>300-1</t>
  </si>
  <si>
    <t>1а</t>
  </si>
  <si>
    <t>430а</t>
  </si>
  <si>
    <t>4.8. Мероприятия, выполняемые сетевой организацией в целях повышения качества обслуживания потребителей в 2017 году.</t>
  </si>
  <si>
    <t>4.7. Результаты опросов потребителей, проводимых сетевой организацией для выявления мнения потребителей о качестве обслуживания в 2017 году</t>
  </si>
  <si>
    <t>Структурная единица</t>
  </si>
  <si>
    <t>Количество опрошенных потребителей, шт.</t>
  </si>
  <si>
    <t>Удовлетворенность качеством предоставляемых услуг, %</t>
  </si>
  <si>
    <t>Филиал «Заполярная горэлектросеть»</t>
  </si>
  <si>
    <t>Отлично – 92 %</t>
  </si>
  <si>
    <t>Хорошо – 8 %</t>
  </si>
  <si>
    <t>Удовлетворительно – 0 %</t>
  </si>
  <si>
    <t>Филиал «Ковдорская электросеть»</t>
  </si>
  <si>
    <t>Отлично – 83 %</t>
  </si>
  <si>
    <t>Хорошо – 17 %</t>
  </si>
  <si>
    <t>ИТОГО АО «МЭС»</t>
  </si>
  <si>
    <t>Отлично – 86 %</t>
  </si>
  <si>
    <t>Хорошо – 14 %</t>
  </si>
  <si>
    <t>Опросы потребителей услуг проводятся письменно, при очном обращении в офисы обслуживания.</t>
  </si>
  <si>
    <t>4.5. Описание дополнительных услуг, оказываемых потребителю.</t>
  </si>
  <si>
    <t>испытания силовых кабельных линий 10 (6) /0,4 кВ;</t>
  </si>
  <si>
    <t>техническое обслуживание и ремонт электрических сетей и электрооборудования 10/6/0,4 кВ;</t>
  </si>
  <si>
    <t>испытание электрооборудования;</t>
  </si>
  <si>
    <t>подготовка проектов внутренних систем электроснабжения;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</si>
  <si>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2017 году</t>
  </si>
  <si>
    <t>В 2017 году жалоб на качество электрической энергии не поступало.</t>
  </si>
  <si>
    <t>Среди обращений, содержащих заявку на оказание услуг наибольшее количество заявок принято сетевой организацией на услуги по замене приборов учета.</t>
  </si>
  <si>
    <t>3.5. Стоимость технологического присоединения к электрическим сетям сетевой организации</t>
  </si>
  <si>
    <t>Для территориальных сетевых организаций Мурманской области плата за технологическое присоединение с 01 января 2017 года по 31 декабря 2017 года установлена Постановлением Комитета по тарифному регилированию Мурманской области от 28.12.2016 г. № 60/1 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</si>
  <si>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</si>
  <si>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В отчетном периоде мероприятий по севершенствованию деятельности по технологическому присоединению не проводились.</t>
  </si>
  <si>
    <t>3.1. Информация о наличии невостребованной мощности.</t>
  </si>
  <si>
    <r>
      <t xml:space="preserve">ИНФОРМАЦИЯ О НАЛИЧИИ ОБЪЁМА СВОБОДНОЙ ДЛЯ ТЕХНОЛОГИЧЕСКОГО ПРИСОЕДИНЕНИЯ ПОТРЕБИТЕЛЕЙ ТРАНСФОРМАТОРНОЙ МОЩНОСТИ ПО СОСТОЯНИЮ НА </t>
    </r>
    <r>
      <rPr>
        <b/>
        <sz val="10"/>
        <color indexed="10"/>
        <rFont val="Arial Cyr"/>
        <family val="0"/>
      </rPr>
      <t>23.12.2017Г.</t>
    </r>
  </si>
  <si>
    <t>филиал АО"МЭС" "Ковдорская электросеть"</t>
  </si>
  <si>
    <t>№ п\п</t>
  </si>
  <si>
    <t>№ ТП</t>
  </si>
  <si>
    <t>параметры трансформатора</t>
  </si>
  <si>
    <t>Номинальный ток трансформатора, I ном, А</t>
  </si>
  <si>
    <t>Фактическая присоединенная мощность, кВт</t>
  </si>
  <si>
    <r>
      <t>Σ</t>
    </r>
    <r>
      <rPr>
        <b/>
        <sz val="10"/>
        <rFont val="Arial Cyr"/>
        <family val="2"/>
      </rPr>
      <t xml:space="preserve"> факт. мощность                                  </t>
    </r>
    <r>
      <rPr>
        <b/>
        <sz val="9"/>
        <rFont val="Arial Cyr"/>
        <family val="0"/>
      </rPr>
      <t>Т-1+Т-2</t>
    </r>
    <r>
      <rPr>
        <b/>
        <sz val="9.5"/>
        <rFont val="Arial Cyr"/>
        <family val="0"/>
      </rPr>
      <t>,</t>
    </r>
    <r>
      <rPr>
        <b/>
        <sz val="10"/>
        <rFont val="Arial Cyr"/>
        <family val="2"/>
      </rPr>
      <t xml:space="preserve"> кВт</t>
    </r>
  </si>
  <si>
    <t>Максимальный ток трансформатора, А</t>
  </si>
  <si>
    <t>коэфф-нт загрузки  тр-ра,        Кн</t>
  </si>
  <si>
    <t>Объем свободной мощности ПС, кВт</t>
  </si>
  <si>
    <t>Объем свободной мощности ПС, кВА</t>
  </si>
  <si>
    <t>Замеры на Uл=0,4кВ</t>
  </si>
  <si>
    <t>Iср.  (Uл=6   (10)кВ)</t>
  </si>
  <si>
    <t>Тип</t>
  </si>
  <si>
    <t>Номинальная мощность Sн, кВА</t>
  </si>
  <si>
    <t>Номинальная мощность Рн, кВт</t>
  </si>
  <si>
    <t>С</t>
  </si>
  <si>
    <t>от ПС-41</t>
  </si>
  <si>
    <t>ТМ</t>
  </si>
  <si>
    <t>КТП-17</t>
  </si>
  <si>
    <t>КТП-6</t>
  </si>
  <si>
    <t>КТП-9</t>
  </si>
  <si>
    <t>ТП-109</t>
  </si>
  <si>
    <t>ТП-102</t>
  </si>
  <si>
    <t>Т-1 ТМ</t>
  </si>
  <si>
    <t>Т-2 ТМ</t>
  </si>
  <si>
    <t>ТП-101</t>
  </si>
  <si>
    <t>ТП-105</t>
  </si>
  <si>
    <t>Т-1ТМ</t>
  </si>
  <si>
    <t>Т-2ТМ</t>
  </si>
  <si>
    <t>ТП-108</t>
  </si>
  <si>
    <t>ТП-629</t>
  </si>
  <si>
    <t>ТП-625</t>
  </si>
  <si>
    <t>ТП-627</t>
  </si>
  <si>
    <t>ТП-626</t>
  </si>
  <si>
    <t>ПС 368</t>
  </si>
  <si>
    <t>ТП-124</t>
  </si>
  <si>
    <t>ТП-76</t>
  </si>
  <si>
    <t>ТП-94</t>
  </si>
  <si>
    <t>ТП-84</t>
  </si>
  <si>
    <t>ТП-123</t>
  </si>
  <si>
    <t>ПС 40А</t>
  </si>
  <si>
    <t xml:space="preserve">РП3 </t>
  </si>
  <si>
    <t>ТП-58</t>
  </si>
  <si>
    <t>РП2</t>
  </si>
  <si>
    <t>ТП-50</t>
  </si>
  <si>
    <t>Наименование ТП</t>
  </si>
  <si>
    <t>Тип трансформатора, мощность, кВА</t>
  </si>
  <si>
    <t>Мощность трансформатора, кВА</t>
  </si>
  <si>
    <t>Iном А, НН</t>
  </si>
  <si>
    <t>I ном А, ВН</t>
  </si>
  <si>
    <t>Ж</t>
  </si>
  <si>
    <t>З</t>
  </si>
  <si>
    <t>К</t>
  </si>
  <si>
    <t>Iср. А,НН</t>
  </si>
  <si>
    <t>коэффициент загрузки          К</t>
  </si>
  <si>
    <t>Объем свободной мощности кВт</t>
  </si>
  <si>
    <t>Объем свободной мощности кВА</t>
  </si>
  <si>
    <t>п. Никель</t>
  </si>
  <si>
    <t>РП - 1  Т - 1</t>
  </si>
  <si>
    <t>ТМ -630/10</t>
  </si>
  <si>
    <t>РП - 1  Т - 2</t>
  </si>
  <si>
    <t>ТМ - 160/10</t>
  </si>
  <si>
    <t>РП - 2  Т - 1</t>
  </si>
  <si>
    <t>ТМГ- 630/10</t>
  </si>
  <si>
    <t>РП - 2  Т - 2</t>
  </si>
  <si>
    <t>РП - 5  Т - 1</t>
  </si>
  <si>
    <t>ТМ 630/10</t>
  </si>
  <si>
    <t>РП - 5  Т - 2</t>
  </si>
  <si>
    <t>ТП - 3  Т - 1</t>
  </si>
  <si>
    <t>ТМ 250/10</t>
  </si>
  <si>
    <t>ТП - 3  Т - 2</t>
  </si>
  <si>
    <t>ТП -4  Т - 1</t>
  </si>
  <si>
    <t>ТМ - 400/10</t>
  </si>
  <si>
    <t>ТП -4  Т - 2</t>
  </si>
  <si>
    <t>ТП - 6 Т - 1</t>
  </si>
  <si>
    <t>ТП - 6 Т - 2</t>
  </si>
  <si>
    <t>ТП - 7  Т - 1</t>
  </si>
  <si>
    <t>ТМГ - 630/10</t>
  </si>
  <si>
    <t>ТП - 7  Т - 2</t>
  </si>
  <si>
    <t>ТП - 8  Т - 1</t>
  </si>
  <si>
    <t>ТП - 8  Т - 2</t>
  </si>
  <si>
    <t>ТМ 200/10</t>
  </si>
  <si>
    <t>КТП - 10</t>
  </si>
  <si>
    <t>ТП - 11</t>
  </si>
  <si>
    <t>ТМГ - 400/10</t>
  </si>
  <si>
    <t xml:space="preserve">ТП - 12 </t>
  </si>
  <si>
    <t>ТП - 13</t>
  </si>
  <si>
    <t>ТМГ -400/10</t>
  </si>
  <si>
    <t>ТП - 16 Т - 1</t>
  </si>
  <si>
    <t>ТМ - 250/10</t>
  </si>
  <si>
    <t>ТП - 16 Т - 2</t>
  </si>
  <si>
    <t>ТП - 18  Т - 1</t>
  </si>
  <si>
    <r>
      <t>ТМ</t>
    </r>
    <r>
      <rPr>
        <sz val="11"/>
        <color theme="1"/>
        <rFont val="Calibri"/>
        <family val="2"/>
      </rPr>
      <t xml:space="preserve"> - 400/10</t>
    </r>
  </si>
  <si>
    <t>ТП - 18  Т - 2</t>
  </si>
  <si>
    <r>
      <t>ТМ</t>
    </r>
    <r>
      <rPr>
        <sz val="10"/>
        <color indexed="61"/>
        <rFont val="Arial Cyr"/>
        <family val="0"/>
      </rPr>
      <t>Г</t>
    </r>
    <r>
      <rPr>
        <sz val="11"/>
        <color theme="1"/>
        <rFont val="Calibri"/>
        <family val="2"/>
      </rPr>
      <t xml:space="preserve"> - 400/10</t>
    </r>
  </si>
  <si>
    <t>ТП - 20</t>
  </si>
  <si>
    <t>ТП - 21</t>
  </si>
  <si>
    <t>ТП - 22  Т -1</t>
  </si>
  <si>
    <t>ТМГ - 250/10</t>
  </si>
  <si>
    <t>ТП - 22  Т -2</t>
  </si>
  <si>
    <t>ТП - 24</t>
  </si>
  <si>
    <t>ТМ - 320/10</t>
  </si>
  <si>
    <t>ТП - 27</t>
  </si>
  <si>
    <t>ТП - 32</t>
  </si>
  <si>
    <t>ТП - 34</t>
  </si>
  <si>
    <t>ТП - 37</t>
  </si>
  <si>
    <t>ТП - 38</t>
  </si>
  <si>
    <t>ТП - 43  Т - 1</t>
  </si>
  <si>
    <t>ТП - 43  Т - 2</t>
  </si>
  <si>
    <t>ТП - 49</t>
  </si>
  <si>
    <t>ТП - 52</t>
  </si>
  <si>
    <t>ТП - 54  Т -1</t>
  </si>
  <si>
    <t>ТП - 54  Т -2</t>
  </si>
  <si>
    <t>ТП - 65  Т - 1</t>
  </si>
  <si>
    <t>ТП - 65  Т - 2</t>
  </si>
  <si>
    <t>ТП - 66  Т - 1</t>
  </si>
  <si>
    <t>ТМ - 630/10</t>
  </si>
  <si>
    <t>ТП - 66  Т - 2</t>
  </si>
  <si>
    <t>ТП - 68  Т - 1</t>
  </si>
  <si>
    <t>ТП - 68  Т - 2</t>
  </si>
  <si>
    <r>
      <t xml:space="preserve">ТМ - </t>
    </r>
    <r>
      <rPr>
        <sz val="10"/>
        <rFont val="Arial Cyr"/>
        <family val="0"/>
      </rPr>
      <t>400/10</t>
    </r>
  </si>
  <si>
    <t xml:space="preserve">ТП - 69  </t>
  </si>
  <si>
    <t>ТП - 72   Т - 1</t>
  </si>
  <si>
    <t>ТП - 72   Т - 2</t>
  </si>
  <si>
    <t>ТП  - 74  Т - 1</t>
  </si>
  <si>
    <t>ТП  - 74  Т - 2</t>
  </si>
  <si>
    <t>ТП - 75   Т - 1</t>
  </si>
  <si>
    <t>ТП - 75   Т - 2</t>
  </si>
  <si>
    <t>КТП - 88</t>
  </si>
  <si>
    <t>КТП - 87</t>
  </si>
  <si>
    <t>ТП - 29  Т - 1</t>
  </si>
  <si>
    <t>ТП - 29  Т -2</t>
  </si>
  <si>
    <t>КТП - 25</t>
  </si>
  <si>
    <r>
      <t>Т</t>
    </r>
    <r>
      <rPr>
        <sz val="10"/>
        <rFont val="Arial Cyr"/>
        <family val="0"/>
      </rPr>
      <t>СМ - 200/10</t>
    </r>
  </si>
  <si>
    <t>КТП - 30</t>
  </si>
  <si>
    <t>ТМГ - 160/10</t>
  </si>
  <si>
    <t>Итого по п. Никель</t>
  </si>
  <si>
    <t>г. Заполярный</t>
  </si>
  <si>
    <t>ПС-26 Т-1</t>
  </si>
  <si>
    <t>ТД - 10000/35/6</t>
  </si>
  <si>
    <t>ПС-26 Т-2</t>
  </si>
  <si>
    <t>ТМ - 630/6</t>
  </si>
  <si>
    <t>ТП - 1  Т - 1</t>
  </si>
  <si>
    <t>ТМ - 400/6</t>
  </si>
  <si>
    <t>ТП - 1  Т - 2</t>
  </si>
  <si>
    <t>ТП - 3а Т - 1</t>
  </si>
  <si>
    <t>ТМГ - 400/6</t>
  </si>
  <si>
    <t>ТП - 3а Т - 2</t>
  </si>
  <si>
    <t>ТП - 2</t>
  </si>
  <si>
    <t>ТП - 4  Т - 1</t>
  </si>
  <si>
    <t>ТП - 4  Т - 2</t>
  </si>
  <si>
    <r>
      <t>ТМ</t>
    </r>
    <r>
      <rPr>
        <sz val="10"/>
        <rFont val="Arial Cyr"/>
        <family val="0"/>
      </rPr>
      <t>Г - 400/6</t>
    </r>
  </si>
  <si>
    <t>ТП - 5  Т - 1</t>
  </si>
  <si>
    <t>ТП - 5  Т - 2</t>
  </si>
  <si>
    <r>
      <t xml:space="preserve">ТМГ - </t>
    </r>
    <r>
      <rPr>
        <sz val="10"/>
        <rFont val="Arial Cyr"/>
        <family val="0"/>
      </rPr>
      <t>400/6</t>
    </r>
  </si>
  <si>
    <t>ТП - 5А Т - 1</t>
  </si>
  <si>
    <t>ТМ -320/6</t>
  </si>
  <si>
    <t>ТП - 5А Т - 2</t>
  </si>
  <si>
    <t>ТП-6 Т-1</t>
  </si>
  <si>
    <t>ТМ-630/6</t>
  </si>
  <si>
    <t>ТП - 7   Т - 1</t>
  </si>
  <si>
    <t>ТП - 7   Т - 2</t>
  </si>
  <si>
    <t>ТМГ -400/6</t>
  </si>
  <si>
    <t>ТП - 9  Т - 1</t>
  </si>
  <si>
    <t>ТП - 9  Т - 2</t>
  </si>
  <si>
    <t>ТП - 10</t>
  </si>
  <si>
    <t>ТП - 10А  Т - 1</t>
  </si>
  <si>
    <t>ТП - 10А  Т - 2</t>
  </si>
  <si>
    <t>ТП - 10 Б  Т - 1</t>
  </si>
  <si>
    <t>ТП - 10 Б  Т - 2</t>
  </si>
  <si>
    <t xml:space="preserve">ТП -11 </t>
  </si>
  <si>
    <r>
      <t>ТМГ</t>
    </r>
    <r>
      <rPr>
        <sz val="10"/>
        <rFont val="Arial Cyr"/>
        <family val="0"/>
      </rPr>
      <t xml:space="preserve"> - 400/6</t>
    </r>
  </si>
  <si>
    <t>ТП - 11А  Т - 1</t>
  </si>
  <si>
    <t>ТП - 11А  Т - 2</t>
  </si>
  <si>
    <t>ТП - 12     Т - 1</t>
  </si>
  <si>
    <t>ТП - 12     Т - 2</t>
  </si>
  <si>
    <t>ТП - 13     Т - 1</t>
  </si>
  <si>
    <t>ТП - 13     Т - 2</t>
  </si>
  <si>
    <t>ТМГ- 400/6</t>
  </si>
  <si>
    <t>ТП - 14  Т- 1</t>
  </si>
  <si>
    <r>
      <t xml:space="preserve">ТМ - </t>
    </r>
    <r>
      <rPr>
        <sz val="10"/>
        <rFont val="Arial Cyr"/>
        <family val="0"/>
      </rPr>
      <t>400/6</t>
    </r>
  </si>
  <si>
    <t>ТП - 14  Т- 2</t>
  </si>
  <si>
    <r>
      <t xml:space="preserve">ТМ - </t>
    </r>
    <r>
      <rPr>
        <sz val="10"/>
        <rFont val="Arial Cyr"/>
        <family val="0"/>
      </rPr>
      <t>630/6</t>
    </r>
  </si>
  <si>
    <t>ТП - 15   Т - 1</t>
  </si>
  <si>
    <r>
      <t>ТСМА</t>
    </r>
    <r>
      <rPr>
        <sz val="10"/>
        <rFont val="Arial Cyr"/>
        <family val="0"/>
      </rPr>
      <t xml:space="preserve"> - 400/6</t>
    </r>
  </si>
  <si>
    <t>ТП - 15   Т - 2</t>
  </si>
  <si>
    <t>ТП - 16  Т - 1</t>
  </si>
  <si>
    <t>ТП - 16  Т - 2</t>
  </si>
  <si>
    <r>
      <t>ТМ</t>
    </r>
    <r>
      <rPr>
        <sz val="10"/>
        <rFont val="Arial Cyr"/>
        <family val="0"/>
      </rPr>
      <t xml:space="preserve"> - 400/6</t>
    </r>
  </si>
  <si>
    <t>ТП - 17  Т - 1</t>
  </si>
  <si>
    <t>ТП - 17  Т - 2</t>
  </si>
  <si>
    <t>ТП - 18   Т - 1</t>
  </si>
  <si>
    <r>
      <t xml:space="preserve">ТМ - </t>
    </r>
    <r>
      <rPr>
        <sz val="10"/>
        <rFont val="Arial Cyr"/>
        <family val="0"/>
      </rPr>
      <t>1000/6</t>
    </r>
  </si>
  <si>
    <t>ТП - 18   Т - 2</t>
  </si>
  <si>
    <t>ТП - 19   Т - 1</t>
  </si>
  <si>
    <t>ТП - 19   Т - 2</t>
  </si>
  <si>
    <t>ТП - 20   Т - 1</t>
  </si>
  <si>
    <t>ТМ - 250/6</t>
  </si>
  <si>
    <t>ТП - 20   Т - 2</t>
  </si>
  <si>
    <t>ТП - 21    Т - 1</t>
  </si>
  <si>
    <r>
      <t>ТМ</t>
    </r>
    <r>
      <rPr>
        <sz val="10"/>
        <rFont val="Arial Cyr"/>
        <family val="0"/>
      </rPr>
      <t>АФ - 320/6</t>
    </r>
  </si>
  <si>
    <t>ТП - 21    Т - 2</t>
  </si>
  <si>
    <t>ТП - 22  Т - 1</t>
  </si>
  <si>
    <t>ТП - 22  Т - 2</t>
  </si>
  <si>
    <t>ТП - 23  Т - 1</t>
  </si>
  <si>
    <t>ТП - 23  Т - 2</t>
  </si>
  <si>
    <t>ТП - 24   Т - 1</t>
  </si>
  <si>
    <t>ТМГ - 630/6</t>
  </si>
  <si>
    <t>ТП - 24   Т - 2</t>
  </si>
  <si>
    <t>ТП - 25   Т - 1</t>
  </si>
  <si>
    <t>ТП - 25   Т - 2</t>
  </si>
  <si>
    <r>
      <t>ТМГ -</t>
    </r>
    <r>
      <rPr>
        <sz val="10"/>
        <rFont val="Arial Cyr"/>
        <family val="0"/>
      </rPr>
      <t xml:space="preserve"> 630/6</t>
    </r>
  </si>
  <si>
    <t>ТП-30 Т-1</t>
  </si>
  <si>
    <t>ТМГ-250/6</t>
  </si>
  <si>
    <t>ТП-30 Т-2</t>
  </si>
  <si>
    <t>РП - 4    Т - 1</t>
  </si>
  <si>
    <t>РП - 4    Т - 2</t>
  </si>
  <si>
    <t>КТП Ждановка</t>
  </si>
  <si>
    <t>КТП - 27</t>
  </si>
  <si>
    <t>КТП - 28</t>
  </si>
  <si>
    <r>
      <t>ТМ</t>
    </r>
    <r>
      <rPr>
        <sz val="10"/>
        <rFont val="Arial Cyr"/>
        <family val="0"/>
      </rPr>
      <t>Ш - 320/6</t>
    </r>
  </si>
  <si>
    <t>Итого по г. Заполярный</t>
  </si>
  <si>
    <t>филиал АО"МЭС" "Заполярная горэлектросеть"</t>
  </si>
  <si>
    <r>
      <t xml:space="preserve">ИНФОРМАЦИЯ О НАЛИЧИИ ОБЪЁМА СВОБОДНОЙ ДЛЯ ТЕХНОЛОГИЧЕСКОГО ПРИСОЕДИНЕНИЯ ПОТРЕБИТЕЛЕЙ ТРАНСФОРМАТОРНОЙ МОЩНОСТИ ПО СОСТОЯНИЮ НА </t>
    </r>
    <r>
      <rPr>
        <b/>
        <sz val="10"/>
        <color indexed="10"/>
        <rFont val="Arial Cyr"/>
        <family val="0"/>
      </rPr>
      <t>01.10</t>
    </r>
    <r>
      <rPr>
        <b/>
        <sz val="10"/>
        <color indexed="10"/>
        <rFont val="Arial Cyr"/>
        <family val="0"/>
      </rPr>
      <t>.2017Г.</t>
    </r>
  </si>
  <si>
    <t>2.3. Мероприятия, выполненные сетевой организацией в целях повышения качества оказания услуг по передаче электрической энергии в 2017 году</t>
  </si>
  <si>
    <t>Проведение замеров параметров качества переданной электрической энергии.</t>
  </si>
  <si>
    <t>Проведение текущих и капитальных ремонтов трансформаторных подстанций, воздушных и кабельных линий электропередачи в соответствии с  утвержденными графиками ППР.</t>
  </si>
  <si>
    <t xml:space="preserve">В рамках выполнения мероприятий по повышению надежности и качества электроснабжения, предусмотренных инвестиционной программой предприятия,   в 2017 году выполнены работы по: </t>
  </si>
  <si>
    <t>модернизации электрооборудования РУ-10 кВ РП-140;</t>
  </si>
  <si>
    <t>замене трансформаторов в кол-ве 13 штук;</t>
  </si>
  <si>
    <t>замене маслянных выключателей на вакуумные в кол-ве 7 шт на ПС-26 ЗРУ-6 кВ;</t>
  </si>
  <si>
    <t>приобртению необходимого оборудования и атотранспортной техники для ремонтных служб для быстрой ликвидации аварий и проведения ремонтных работ.</t>
  </si>
  <si>
    <t>приобртению необходимого оборудования и атотранспортной техники для оснащения электротехнических лабораторий;</t>
  </si>
  <si>
    <t>2.4. Прочая информация, которую сетевая организация  считает целесообразной для включения в отчет, касающаяся качества оказания услуг по передаче электрической энергии.</t>
  </si>
  <si>
    <t>Отсутствует.</t>
  </si>
  <si>
    <t>3.3.Прочая информация, которую сетевая организация  считает целесообразной для включения в отчет, касающаяся предоставления услуг по технологическому присоединению.</t>
  </si>
  <si>
    <t>Оказание дополнительных услуг вне очереди.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</si>
  <si>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</t>
  </si>
  <si>
    <t>Прием вне очереди в офисе облуживания потребителей.</t>
  </si>
  <si>
    <t xml:space="preserve"> Информация о качестве обслуживания потребителей</t>
  </si>
  <si>
    <t xml:space="preserve"> Акционерного общества "Мурманэнергосбыт"  услуг за 2017 год</t>
  </si>
  <si>
    <t xml:space="preserve">В 2017 году наибольшее число обращений зарегистрировано по вопросам технологического присоединения к электрическим сетям.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</si>
</sst>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&quot;р.&quot;"/>
    <numFmt numFmtId="193" formatCode="#,##0.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ourier New"/>
      <family val="3"/>
    </font>
    <font>
      <sz val="10"/>
      <name val="Arial Cyr"/>
      <family val="0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u val="single"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0"/>
      <name val="Calibri"/>
      <family val="2"/>
    </font>
    <font>
      <b/>
      <sz val="16"/>
      <name val="Times New Roman"/>
      <family val="1"/>
    </font>
    <font>
      <sz val="11"/>
      <color indexed="8"/>
      <name val="Arial Narrow"/>
      <family val="2"/>
    </font>
    <font>
      <sz val="9"/>
      <name val="Arial Cyr"/>
      <family val="0"/>
    </font>
    <font>
      <sz val="9"/>
      <color indexed="8"/>
      <name val="Arial Narrow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6"/>
      <name val="Arial"/>
      <family val="2"/>
    </font>
    <font>
      <b/>
      <sz val="9.5"/>
      <name val="Arial Cyr"/>
      <family val="0"/>
    </font>
    <font>
      <sz val="11"/>
      <name val="Arial Cyr"/>
      <family val="0"/>
    </font>
    <font>
      <sz val="10"/>
      <color indexed="61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6"/>
      <color indexed="60"/>
      <name val="Times New Roman"/>
      <family val="1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6"/>
      <color rgb="FFC00000"/>
      <name val="Times New Roman"/>
      <family val="1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sz val="11"/>
      <color rgb="FF000000"/>
      <name val="Arial Narrow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 Narrow"/>
      <family val="2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EFFC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rgb="FFE7FF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F6"/>
        <bgColor indexed="64"/>
      </patternFill>
    </fill>
    <fill>
      <patternFill patternType="solid">
        <fgColor rgb="FFFFF3F9"/>
        <bgColor indexed="64"/>
      </patternFill>
    </fill>
    <fill>
      <patternFill patternType="solid">
        <fgColor rgb="FFF0FEAC"/>
        <bgColor indexed="64"/>
      </patternFill>
    </fill>
    <fill>
      <patternFill patternType="solid">
        <fgColor rgb="FFF1FFCD"/>
        <bgColor indexed="64"/>
      </patternFill>
    </fill>
    <fill>
      <patternFill patternType="solid">
        <fgColor rgb="FFFEFF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77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16" fontId="0" fillId="0" borderId="10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88" fillId="0" borderId="10" xfId="0" applyFont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0" fontId="97" fillId="0" borderId="0" xfId="0" applyFont="1" applyAlignment="1">
      <alignment horizontal="justify"/>
    </xf>
    <xf numFmtId="0" fontId="97" fillId="0" borderId="0" xfId="0" applyFont="1" applyAlignment="1">
      <alignment/>
    </xf>
    <xf numFmtId="0" fontId="97" fillId="33" borderId="0" xfId="0" applyFont="1" applyFill="1" applyAlignment="1">
      <alignment/>
    </xf>
    <xf numFmtId="0" fontId="98" fillId="0" borderId="0" xfId="0" applyFont="1" applyAlignment="1">
      <alignment/>
    </xf>
    <xf numFmtId="0" fontId="98" fillId="33" borderId="0" xfId="0" applyFont="1" applyFill="1" applyAlignment="1">
      <alignment/>
    </xf>
    <xf numFmtId="0" fontId="97" fillId="0" borderId="12" xfId="0" applyFont="1" applyBorder="1" applyAlignment="1">
      <alignment horizontal="center" vertical="top" wrapText="1"/>
    </xf>
    <xf numFmtId="16" fontId="97" fillId="0" borderId="12" xfId="0" applyNumberFormat="1" applyFont="1" applyBorder="1" applyAlignment="1">
      <alignment horizontal="center" vertical="top" wrapText="1"/>
    </xf>
    <xf numFmtId="0" fontId="97" fillId="0" borderId="13" xfId="0" applyFont="1" applyBorder="1" applyAlignment="1">
      <alignment horizontal="center" vertical="top" wrapText="1"/>
    </xf>
    <xf numFmtId="0" fontId="97" fillId="0" borderId="14" xfId="0" applyFont="1" applyBorder="1" applyAlignment="1">
      <alignment horizontal="justify" vertical="top" wrapText="1"/>
    </xf>
    <xf numFmtId="0" fontId="97" fillId="0" borderId="14" xfId="0" applyFont="1" applyBorder="1" applyAlignment="1">
      <alignment vertical="top" wrapText="1"/>
    </xf>
    <xf numFmtId="0" fontId="97" fillId="0" borderId="14" xfId="0" applyFont="1" applyBorder="1" applyAlignment="1">
      <alignment horizontal="right" vertical="top" wrapText="1"/>
    </xf>
    <xf numFmtId="0" fontId="97" fillId="0" borderId="15" xfId="0" applyFont="1" applyBorder="1" applyAlignment="1">
      <alignment vertical="top" wrapText="1"/>
    </xf>
    <xf numFmtId="0" fontId="99" fillId="36" borderId="12" xfId="0" applyFont="1" applyFill="1" applyBorder="1" applyAlignment="1">
      <alignment horizontal="center" vertical="top" wrapText="1"/>
    </xf>
    <xf numFmtId="0" fontId="100" fillId="36" borderId="16" xfId="0" applyFont="1" applyFill="1" applyBorder="1" applyAlignment="1">
      <alignment horizontal="center" vertical="top" wrapText="1"/>
    </xf>
    <xf numFmtId="0" fontId="100" fillId="36" borderId="10" xfId="0" applyFont="1" applyFill="1" applyBorder="1" applyAlignment="1">
      <alignment horizontal="center" vertical="top" wrapText="1"/>
    </xf>
    <xf numFmtId="0" fontId="99" fillId="36" borderId="14" xfId="0" applyFont="1" applyFill="1" applyBorder="1" applyAlignment="1">
      <alignment horizontal="center" vertical="top" wrapText="1"/>
    </xf>
    <xf numFmtId="0" fontId="99" fillId="36" borderId="17" xfId="0" applyFont="1" applyFill="1" applyBorder="1" applyAlignment="1">
      <alignment horizontal="center" vertical="top" wrapText="1"/>
    </xf>
    <xf numFmtId="0" fontId="100" fillId="36" borderId="17" xfId="0" applyFont="1" applyFill="1" applyBorder="1" applyAlignment="1">
      <alignment horizontal="center" vertical="top" wrapText="1"/>
    </xf>
    <xf numFmtId="0" fontId="97" fillId="37" borderId="18" xfId="0" applyFont="1" applyFill="1" applyBorder="1" applyAlignment="1">
      <alignment vertical="center" wrapText="1"/>
    </xf>
    <xf numFmtId="0" fontId="101" fillId="37" borderId="18" xfId="0" applyFont="1" applyFill="1" applyBorder="1" applyAlignment="1">
      <alignment vertical="center" wrapText="1"/>
    </xf>
    <xf numFmtId="0" fontId="97" fillId="37" borderId="10" xfId="0" applyFont="1" applyFill="1" applyBorder="1" applyAlignment="1">
      <alignment vertical="center" wrapText="1"/>
    </xf>
    <xf numFmtId="0" fontId="101" fillId="37" borderId="10" xfId="0" applyFont="1" applyFill="1" applyBorder="1" applyAlignment="1">
      <alignment vertical="center" wrapText="1"/>
    </xf>
    <xf numFmtId="0" fontId="97" fillId="37" borderId="17" xfId="0" applyFont="1" applyFill="1" applyBorder="1" applyAlignment="1">
      <alignment vertical="center" wrapText="1"/>
    </xf>
    <xf numFmtId="0" fontId="102" fillId="38" borderId="10" xfId="0" applyFont="1" applyFill="1" applyBorder="1" applyAlignment="1">
      <alignment vertical="center" wrapText="1"/>
    </xf>
    <xf numFmtId="0" fontId="102" fillId="39" borderId="16" xfId="0" applyFont="1" applyFill="1" applyBorder="1" applyAlignment="1">
      <alignment vertical="center" wrapText="1"/>
    </xf>
    <xf numFmtId="0" fontId="102" fillId="39" borderId="10" xfId="0" applyFont="1" applyFill="1" applyBorder="1" applyAlignment="1">
      <alignment vertical="center" wrapText="1"/>
    </xf>
    <xf numFmtId="0" fontId="102" fillId="39" borderId="19" xfId="0" applyFont="1" applyFill="1" applyBorder="1" applyAlignment="1">
      <alignment vertical="center" wrapText="1"/>
    </xf>
    <xf numFmtId="0" fontId="102" fillId="39" borderId="18" xfId="0" applyFont="1" applyFill="1" applyBorder="1" applyAlignment="1">
      <alignment vertical="center" wrapText="1"/>
    </xf>
    <xf numFmtId="10" fontId="103" fillId="37" borderId="10" xfId="0" applyNumberFormat="1" applyFont="1" applyFill="1" applyBorder="1" applyAlignment="1">
      <alignment vertical="center" wrapText="1"/>
    </xf>
    <xf numFmtId="186" fontId="103" fillId="37" borderId="10" xfId="0" applyNumberFormat="1" applyFont="1" applyFill="1" applyBorder="1" applyAlignment="1">
      <alignment vertical="center" wrapText="1"/>
    </xf>
    <xf numFmtId="186" fontId="103" fillId="38" borderId="10" xfId="0" applyNumberFormat="1" applyFont="1" applyFill="1" applyBorder="1" applyAlignment="1">
      <alignment vertical="center" wrapText="1"/>
    </xf>
    <xf numFmtId="186" fontId="103" fillId="39" borderId="10" xfId="0" applyNumberFormat="1" applyFont="1" applyFill="1" applyBorder="1" applyAlignment="1">
      <alignment vertical="center" wrapText="1"/>
    </xf>
    <xf numFmtId="10" fontId="103" fillId="37" borderId="18" xfId="0" applyNumberFormat="1" applyFont="1" applyFill="1" applyBorder="1" applyAlignment="1">
      <alignment vertical="center" wrapText="1"/>
    </xf>
    <xf numFmtId="186" fontId="103" fillId="37" borderId="18" xfId="0" applyNumberFormat="1" applyFont="1" applyFill="1" applyBorder="1" applyAlignment="1">
      <alignment vertical="center" wrapText="1"/>
    </xf>
    <xf numFmtId="186" fontId="103" fillId="39" borderId="18" xfId="0" applyNumberFormat="1" applyFont="1" applyFill="1" applyBorder="1" applyAlignment="1">
      <alignment vertical="center" wrapText="1"/>
    </xf>
    <xf numFmtId="0" fontId="104" fillId="40" borderId="10" xfId="0" applyFont="1" applyFill="1" applyBorder="1" applyAlignment="1">
      <alignment horizontal="center" vertical="top" wrapText="1"/>
    </xf>
    <xf numFmtId="0" fontId="99" fillId="40" borderId="10" xfId="0" applyFont="1" applyFill="1" applyBorder="1" applyAlignment="1">
      <alignment horizontal="center" vertical="top" wrapText="1"/>
    </xf>
    <xf numFmtId="0" fontId="98" fillId="0" borderId="0" xfId="0" applyFont="1" applyAlignment="1">
      <alignment horizontal="justify"/>
    </xf>
    <xf numFmtId="0" fontId="97" fillId="41" borderId="10" xfId="0" applyFont="1" applyFill="1" applyBorder="1" applyAlignment="1">
      <alignment horizontal="right" vertical="center" wrapText="1"/>
    </xf>
    <xf numFmtId="9" fontId="105" fillId="41" borderId="10" xfId="0" applyNumberFormat="1" applyFont="1" applyFill="1" applyBorder="1" applyAlignment="1">
      <alignment horizontal="right" vertical="center" wrapText="1"/>
    </xf>
    <xf numFmtId="0" fontId="14" fillId="41" borderId="10" xfId="0" applyFont="1" applyFill="1" applyBorder="1" applyAlignment="1">
      <alignment horizontal="right" vertical="center" wrapText="1"/>
    </xf>
    <xf numFmtId="0" fontId="16" fillId="41" borderId="10" xfId="0" applyFont="1" applyFill="1" applyBorder="1" applyAlignment="1">
      <alignment horizontal="right" vertical="center" wrapText="1"/>
    </xf>
    <xf numFmtId="1" fontId="97" fillId="41" borderId="10" xfId="0" applyNumberFormat="1" applyFont="1" applyFill="1" applyBorder="1" applyAlignment="1">
      <alignment horizontal="right" vertical="center" wrapText="1"/>
    </xf>
    <xf numFmtId="0" fontId="99" fillId="40" borderId="17" xfId="0" applyFont="1" applyFill="1" applyBorder="1" applyAlignment="1">
      <alignment horizontal="center" vertical="top" wrapText="1"/>
    </xf>
    <xf numFmtId="0" fontId="99" fillId="40" borderId="12" xfId="0" applyFont="1" applyFill="1" applyBorder="1" applyAlignment="1">
      <alignment horizontal="center" vertical="top" wrapText="1"/>
    </xf>
    <xf numFmtId="0" fontId="14" fillId="41" borderId="17" xfId="0" applyFont="1" applyFill="1" applyBorder="1" applyAlignment="1">
      <alignment horizontal="right" vertical="center" wrapText="1"/>
    </xf>
    <xf numFmtId="0" fontId="97" fillId="41" borderId="17" xfId="0" applyFont="1" applyFill="1" applyBorder="1" applyAlignment="1">
      <alignment horizontal="right" vertical="center" wrapText="1"/>
    </xf>
    <xf numFmtId="14" fontId="97" fillId="0" borderId="12" xfId="0" applyNumberFormat="1" applyFont="1" applyBorder="1" applyAlignment="1">
      <alignment horizontal="center" vertical="top" wrapText="1"/>
    </xf>
    <xf numFmtId="16" fontId="97" fillId="0" borderId="13" xfId="0" applyNumberFormat="1" applyFont="1" applyBorder="1" applyAlignment="1">
      <alignment horizontal="center" vertical="top" wrapText="1"/>
    </xf>
    <xf numFmtId="0" fontId="97" fillId="41" borderId="18" xfId="0" applyFont="1" applyFill="1" applyBorder="1" applyAlignment="1">
      <alignment horizontal="right" vertical="center" wrapText="1"/>
    </xf>
    <xf numFmtId="9" fontId="105" fillId="41" borderId="18" xfId="0" applyNumberFormat="1" applyFont="1" applyFill="1" applyBorder="1" applyAlignment="1">
      <alignment horizontal="right" vertical="center" wrapText="1"/>
    </xf>
    <xf numFmtId="0" fontId="14" fillId="41" borderId="18" xfId="0" applyFont="1" applyFill="1" applyBorder="1" applyAlignment="1">
      <alignment horizontal="right" vertical="center" wrapText="1"/>
    </xf>
    <xf numFmtId="0" fontId="16" fillId="41" borderId="18" xfId="0" applyFont="1" applyFill="1" applyBorder="1" applyAlignment="1">
      <alignment horizontal="right" vertical="center" wrapText="1"/>
    </xf>
    <xf numFmtId="0" fontId="14" fillId="41" borderId="20" xfId="0" applyFont="1" applyFill="1" applyBorder="1" applyAlignment="1">
      <alignment horizontal="right" vertical="center" wrapText="1"/>
    </xf>
    <xf numFmtId="0" fontId="99" fillId="40" borderId="14" xfId="0" applyFont="1" applyFill="1" applyBorder="1" applyAlignment="1">
      <alignment horizontal="center" vertical="top" wrapText="1"/>
    </xf>
    <xf numFmtId="0" fontId="97" fillId="0" borderId="15" xfId="0" applyFont="1" applyBorder="1" applyAlignment="1">
      <alignment horizontal="justify" vertical="top" wrapText="1"/>
    </xf>
    <xf numFmtId="0" fontId="104" fillId="40" borderId="12" xfId="0" applyFont="1" applyFill="1" applyBorder="1" applyAlignment="1">
      <alignment horizontal="center" vertical="top" wrapText="1"/>
    </xf>
    <xf numFmtId="0" fontId="97" fillId="41" borderId="12" xfId="0" applyFont="1" applyFill="1" applyBorder="1" applyAlignment="1">
      <alignment horizontal="right" vertical="center" wrapText="1"/>
    </xf>
    <xf numFmtId="0" fontId="14" fillId="41" borderId="12" xfId="0" applyFont="1" applyFill="1" applyBorder="1" applyAlignment="1">
      <alignment horizontal="right" vertical="center" wrapText="1"/>
    </xf>
    <xf numFmtId="1" fontId="97" fillId="41" borderId="12" xfId="0" applyNumberFormat="1" applyFont="1" applyFill="1" applyBorder="1" applyAlignment="1">
      <alignment horizontal="right" vertical="center" wrapText="1"/>
    </xf>
    <xf numFmtId="0" fontId="97" fillId="41" borderId="13" xfId="0" applyFont="1" applyFill="1" applyBorder="1" applyAlignment="1">
      <alignment horizontal="right" vertical="center" wrapText="1"/>
    </xf>
    <xf numFmtId="0" fontId="0" fillId="40" borderId="11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center" vertical="top" wrapText="1"/>
    </xf>
    <xf numFmtId="185" fontId="97" fillId="37" borderId="17" xfId="0" applyNumberFormat="1" applyFont="1" applyFill="1" applyBorder="1" applyAlignment="1">
      <alignment vertical="center" wrapText="1"/>
    </xf>
    <xf numFmtId="0" fontId="106" fillId="36" borderId="10" xfId="0" applyFont="1" applyFill="1" applyBorder="1" applyAlignment="1">
      <alignment horizontal="center" vertical="top" wrapText="1"/>
    </xf>
    <xf numFmtId="2" fontId="101" fillId="37" borderId="20" xfId="0" applyNumberFormat="1" applyFont="1" applyFill="1" applyBorder="1" applyAlignment="1">
      <alignment vertical="center" wrapText="1"/>
    </xf>
    <xf numFmtId="0" fontId="13" fillId="42" borderId="0" xfId="0" applyFont="1" applyFill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84" fontId="0" fillId="0" borderId="0" xfId="0" applyNumberFormat="1" applyAlignment="1">
      <alignment/>
    </xf>
    <xf numFmtId="186" fontId="103" fillId="43" borderId="18" xfId="0" applyNumberFormat="1" applyFont="1" applyFill="1" applyBorder="1" applyAlignment="1">
      <alignment vertical="center" wrapText="1"/>
    </xf>
    <xf numFmtId="0" fontId="102" fillId="43" borderId="18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85" fontId="102" fillId="39" borderId="19" xfId="0" applyNumberFormat="1" applyFont="1" applyFill="1" applyBorder="1" applyAlignment="1">
      <alignment vertical="center" wrapText="1"/>
    </xf>
    <xf numFmtId="2" fontId="100" fillId="0" borderId="0" xfId="0" applyNumberFormat="1" applyFont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2" xfId="57" applyNumberFormat="1" applyFont="1" applyFill="1" applyBorder="1" applyAlignment="1">
      <alignment horizontal="center" vertical="center" wrapText="1"/>
      <protection/>
    </xf>
    <xf numFmtId="0" fontId="0" fillId="34" borderId="10" xfId="57" applyNumberFormat="1" applyFont="1" applyFill="1" applyBorder="1" applyAlignment="1">
      <alignment horizontal="center" vertical="center" wrapText="1"/>
      <protection/>
    </xf>
    <xf numFmtId="0" fontId="0" fillId="34" borderId="17" xfId="57" applyNumberFormat="1" applyFont="1" applyFill="1" applyBorder="1" applyAlignment="1">
      <alignment horizontal="center" vertical="center" wrapText="1"/>
      <protection/>
    </xf>
    <xf numFmtId="0" fontId="0" fillId="34" borderId="14" xfId="57" applyNumberFormat="1" applyFont="1" applyFill="1" applyBorder="1" applyAlignment="1">
      <alignment horizontal="center" vertical="center" wrapText="1"/>
      <protection/>
    </xf>
    <xf numFmtId="0" fontId="0" fillId="0" borderId="12" xfId="57" applyNumberFormat="1" applyFont="1" applyFill="1" applyBorder="1" applyAlignment="1">
      <alignment horizontal="center"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7" xfId="57" applyNumberFormat="1" applyFont="1" applyFill="1" applyBorder="1" applyAlignment="1">
      <alignment horizontal="center" vertical="center" wrapText="1"/>
      <protection/>
    </xf>
    <xf numFmtId="0" fontId="0" fillId="44" borderId="10" xfId="57" applyNumberFormat="1" applyFont="1" applyFill="1" applyBorder="1" applyAlignment="1">
      <alignment horizontal="center" vertical="center" wrapText="1"/>
      <protection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88" fillId="0" borderId="13" xfId="57" applyNumberFormat="1" applyFont="1" applyFill="1" applyBorder="1" applyAlignment="1">
      <alignment horizontal="center" vertical="center" wrapText="1"/>
      <protection/>
    </xf>
    <xf numFmtId="0" fontId="88" fillId="0" borderId="18" xfId="57" applyNumberFormat="1" applyFont="1" applyFill="1" applyBorder="1" applyAlignment="1">
      <alignment horizontal="center" vertical="center" wrapText="1"/>
      <protection/>
    </xf>
    <xf numFmtId="0" fontId="88" fillId="0" borderId="20" xfId="57" applyNumberFormat="1" applyFont="1" applyFill="1" applyBorder="1" applyAlignment="1">
      <alignment horizontal="center" vertical="center" wrapText="1"/>
      <protection/>
    </xf>
    <xf numFmtId="0" fontId="88" fillId="0" borderId="15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07" fillId="34" borderId="10" xfId="0" applyFont="1" applyFill="1" applyBorder="1" applyAlignment="1">
      <alignment horizontal="center" wrapText="1"/>
    </xf>
    <xf numFmtId="0" fontId="107" fillId="34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08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88" fillId="0" borderId="0" xfId="0" applyFont="1" applyFill="1" applyBorder="1" applyAlignment="1">
      <alignment textRotation="90"/>
    </xf>
    <xf numFmtId="0" fontId="88" fillId="0" borderId="0" xfId="0" applyFont="1" applyBorder="1" applyAlignment="1">
      <alignment horizontal="left" wrapText="1"/>
    </xf>
    <xf numFmtId="0" fontId="88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 wrapText="1"/>
    </xf>
    <xf numFmtId="49" fontId="0" fillId="4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44" borderId="10" xfId="0" applyFont="1" applyFill="1" applyBorder="1" applyAlignment="1">
      <alignment horizontal="center" vertical="top" wrapText="1"/>
    </xf>
    <xf numFmtId="0" fontId="0" fillId="44" borderId="10" xfId="0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88" fillId="0" borderId="0" xfId="0" applyFont="1" applyAlignment="1">
      <alignment/>
    </xf>
    <xf numFmtId="0" fontId="88" fillId="45" borderId="0" xfId="0" applyFont="1" applyFill="1" applyAlignment="1">
      <alignment/>
    </xf>
    <xf numFmtId="1" fontId="88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109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9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6" fillId="44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Fill="1" applyBorder="1" applyAlignment="1">
      <alignment horizontal="center" vertical="center" wrapText="1"/>
    </xf>
    <xf numFmtId="1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8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center" vertical="center"/>
    </xf>
    <xf numFmtId="0" fontId="6" fillId="46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191" fontId="21" fillId="0" borderId="10" xfId="0" applyNumberFormat="1" applyFont="1" applyFill="1" applyBorder="1" applyAlignment="1">
      <alignment horizontal="center" vertical="center"/>
    </xf>
    <xf numFmtId="19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vertical="top"/>
    </xf>
    <xf numFmtId="2" fontId="22" fillId="0" borderId="10" xfId="0" applyNumberFormat="1" applyFont="1" applyBorder="1" applyAlignment="1">
      <alignment horizontal="center" vertical="center" wrapText="1"/>
    </xf>
    <xf numFmtId="0" fontId="110" fillId="44" borderId="23" xfId="0" applyFont="1" applyFill="1" applyBorder="1" applyAlignment="1" applyProtection="1">
      <alignment horizontal="center" vertical="center" wrapText="1"/>
      <protection locked="0"/>
    </xf>
    <xf numFmtId="0" fontId="110" fillId="44" borderId="10" xfId="0" applyFont="1" applyFill="1" applyBorder="1" applyAlignment="1" applyProtection="1">
      <alignment horizontal="center" vertical="center" wrapText="1"/>
      <protection locked="0"/>
    </xf>
    <xf numFmtId="0" fontId="26" fillId="44" borderId="10" xfId="0" applyFont="1" applyFill="1" applyBorder="1" applyAlignment="1">
      <alignment horizontal="center" vertical="center" wrapText="1"/>
    </xf>
    <xf numFmtId="14" fontId="26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44" borderId="10" xfId="0" applyFont="1" applyFill="1" applyBorder="1" applyAlignment="1" applyProtection="1">
      <alignment horizontal="left" vertical="center" wrapText="1"/>
      <protection locked="0"/>
    </xf>
    <xf numFmtId="0" fontId="26" fillId="44" borderId="10" xfId="0" applyFont="1" applyFill="1" applyBorder="1" applyAlignment="1" applyProtection="1">
      <alignment horizontal="center" vertical="center" wrapText="1"/>
      <protection locked="0"/>
    </xf>
    <xf numFmtId="191" fontId="26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110" fillId="44" borderId="10" xfId="0" applyFont="1" applyFill="1" applyBorder="1" applyAlignment="1">
      <alignment horizontal="center" vertical="center" wrapText="1"/>
    </xf>
    <xf numFmtId="14" fontId="110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110" fillId="44" borderId="10" xfId="0" applyFont="1" applyFill="1" applyBorder="1" applyAlignment="1" applyProtection="1">
      <alignment horizontal="left" vertical="center" wrapText="1"/>
      <protection locked="0"/>
    </xf>
    <xf numFmtId="191" fontId="110" fillId="44" borderId="23" xfId="0" applyNumberFormat="1" applyFont="1" applyFill="1" applyBorder="1" applyAlignment="1" applyProtection="1">
      <alignment horizontal="center" vertical="center" wrapText="1"/>
      <protection locked="0"/>
    </xf>
    <xf numFmtId="184" fontId="110" fillId="44" borderId="23" xfId="0" applyNumberFormat="1" applyFont="1" applyFill="1" applyBorder="1" applyAlignment="1" applyProtection="1">
      <alignment horizontal="center" vertical="center" wrapText="1"/>
      <protection locked="0"/>
    </xf>
    <xf numFmtId="14" fontId="110" fillId="44" borderId="10" xfId="0" applyNumberFormat="1" applyFont="1" applyFill="1" applyBorder="1" applyAlignment="1" applyProtection="1">
      <alignment horizontal="center" vertical="center" wrapText="1"/>
      <protection locked="0"/>
    </xf>
    <xf numFmtId="191" fontId="110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191" fontId="0" fillId="0" borderId="10" xfId="0" applyNumberFormat="1" applyBorder="1" applyAlignment="1">
      <alignment vertical="center" wrapText="1"/>
    </xf>
    <xf numFmtId="19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top" wrapText="1"/>
    </xf>
    <xf numFmtId="184" fontId="88" fillId="0" borderId="10" xfId="0" applyNumberFormat="1" applyFont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center" wrapText="1"/>
    </xf>
    <xf numFmtId="0" fontId="99" fillId="40" borderId="12" xfId="0" applyFont="1" applyFill="1" applyBorder="1" applyAlignment="1">
      <alignment horizontal="center" vertical="top" wrapText="1"/>
    </xf>
    <xf numFmtId="0" fontId="99" fillId="40" borderId="10" xfId="0" applyFont="1" applyFill="1" applyBorder="1" applyAlignment="1">
      <alignment horizontal="center" vertical="top" wrapText="1"/>
    </xf>
    <xf numFmtId="0" fontId="99" fillId="40" borderId="17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14" fontId="6" fillId="7" borderId="23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14" fontId="6" fillId="7" borderId="10" xfId="0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center" vertical="center" wrapText="1"/>
    </xf>
    <xf numFmtId="14" fontId="7" fillId="47" borderId="23" xfId="0" applyNumberFormat="1" applyFont="1" applyFill="1" applyBorder="1" applyAlignment="1">
      <alignment horizontal="center" vertical="center" wrapText="1"/>
    </xf>
    <xf numFmtId="0" fontId="7" fillId="47" borderId="23" xfId="0" applyFont="1" applyFill="1" applyBorder="1" applyAlignment="1">
      <alignment horizontal="left" vertical="center" wrapText="1"/>
    </xf>
    <xf numFmtId="0" fontId="7" fillId="47" borderId="23" xfId="0" applyFont="1" applyFill="1" applyBorder="1" applyAlignment="1">
      <alignment horizontal="center" vertical="center" wrapText="1"/>
    </xf>
    <xf numFmtId="2" fontId="7" fillId="47" borderId="23" xfId="0" applyNumberFormat="1" applyFont="1" applyFill="1" applyBorder="1" applyAlignment="1">
      <alignment horizontal="center" vertical="center" wrapText="1"/>
    </xf>
    <xf numFmtId="14" fontId="7" fillId="48" borderId="23" xfId="0" applyNumberFormat="1" applyFont="1" applyFill="1" applyBorder="1" applyAlignment="1">
      <alignment horizontal="center" vertical="center" wrapText="1"/>
    </xf>
    <xf numFmtId="0" fontId="107" fillId="48" borderId="10" xfId="0" applyFont="1" applyFill="1" applyBorder="1" applyAlignment="1">
      <alignment horizontal="left" vertical="center" wrapText="1"/>
    </xf>
    <xf numFmtId="0" fontId="7" fillId="48" borderId="23" xfId="0" applyFont="1" applyFill="1" applyBorder="1" applyAlignment="1">
      <alignment horizontal="left" vertical="center" wrapText="1"/>
    </xf>
    <xf numFmtId="0" fontId="7" fillId="48" borderId="23" xfId="0" applyFont="1" applyFill="1" applyBorder="1" applyAlignment="1">
      <alignment horizontal="center" vertical="center" wrapText="1"/>
    </xf>
    <xf numFmtId="2" fontId="7" fillId="48" borderId="23" xfId="0" applyNumberFormat="1" applyFont="1" applyFill="1" applyBorder="1" applyAlignment="1">
      <alignment horizontal="center" vertical="center" wrapText="1"/>
    </xf>
    <xf numFmtId="14" fontId="7" fillId="48" borderId="24" xfId="0" applyNumberFormat="1" applyFont="1" applyFill="1" applyBorder="1" applyAlignment="1">
      <alignment horizontal="center" vertical="center" wrapText="1"/>
    </xf>
    <xf numFmtId="0" fontId="107" fillId="48" borderId="24" xfId="0" applyFont="1" applyFill="1" applyBorder="1" applyAlignment="1">
      <alignment horizontal="left" vertical="center" wrapText="1"/>
    </xf>
    <xf numFmtId="0" fontId="7" fillId="48" borderId="24" xfId="0" applyFont="1" applyFill="1" applyBorder="1" applyAlignment="1">
      <alignment horizontal="left" vertical="center" wrapText="1"/>
    </xf>
    <xf numFmtId="0" fontId="7" fillId="48" borderId="24" xfId="0" applyFont="1" applyFill="1" applyBorder="1" applyAlignment="1">
      <alignment horizontal="center" vertical="center" wrapText="1"/>
    </xf>
    <xf numFmtId="2" fontId="7" fillId="48" borderId="24" xfId="0" applyNumberFormat="1" applyFont="1" applyFill="1" applyBorder="1" applyAlignment="1">
      <alignment horizontal="center" vertical="center" wrapText="1"/>
    </xf>
    <xf numFmtId="0" fontId="0" fillId="44" borderId="12" xfId="57" applyNumberFormat="1" applyFont="1" applyFill="1" applyBorder="1" applyAlignment="1">
      <alignment horizontal="center" vertical="center" wrapText="1"/>
      <protection/>
    </xf>
    <xf numFmtId="0" fontId="0" fillId="44" borderId="17" xfId="57" applyNumberFormat="1" applyFont="1" applyFill="1" applyBorder="1" applyAlignment="1">
      <alignment horizontal="center" vertical="center" wrapText="1"/>
      <protection/>
    </xf>
    <xf numFmtId="0" fontId="0" fillId="44" borderId="10" xfId="0" applyFont="1" applyFill="1" applyBorder="1" applyAlignment="1">
      <alignment wrapText="1"/>
    </xf>
    <xf numFmtId="0" fontId="101" fillId="10" borderId="10" xfId="0" applyFont="1" applyFill="1" applyBorder="1" applyAlignment="1">
      <alignment vertical="center" wrapText="1"/>
    </xf>
    <xf numFmtId="185" fontId="101" fillId="10" borderId="18" xfId="0" applyNumberFormat="1" applyFont="1" applyFill="1" applyBorder="1" applyAlignment="1">
      <alignment vertical="center" wrapText="1"/>
    </xf>
    <xf numFmtId="0" fontId="106" fillId="36" borderId="12" xfId="0" applyFont="1" applyFill="1" applyBorder="1" applyAlignment="1">
      <alignment horizontal="center" vertical="top" wrapText="1"/>
    </xf>
    <xf numFmtId="0" fontId="101" fillId="10" borderId="18" xfId="0" applyFont="1" applyFill="1" applyBorder="1" applyAlignment="1">
      <alignment vertical="center" wrapText="1"/>
    </xf>
    <xf numFmtId="0" fontId="97" fillId="10" borderId="10" xfId="0" applyFont="1" applyFill="1" applyBorder="1" applyAlignment="1">
      <alignment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/>
    </xf>
    <xf numFmtId="1" fontId="0" fillId="45" borderId="0" xfId="0" applyNumberFormat="1" applyFill="1" applyAlignment="1">
      <alignment/>
    </xf>
    <xf numFmtId="0" fontId="88" fillId="0" borderId="25" xfId="57" applyNumberFormat="1" applyFont="1" applyFill="1" applyBorder="1" applyAlignment="1">
      <alignment horizontal="center" vertical="center" wrapText="1"/>
      <protection/>
    </xf>
    <xf numFmtId="0" fontId="102" fillId="43" borderId="10" xfId="0" applyFont="1" applyFill="1" applyBorder="1" applyAlignment="1">
      <alignment vertical="center" wrapText="1"/>
    </xf>
    <xf numFmtId="9" fontId="105" fillId="5" borderId="10" xfId="0" applyNumberFormat="1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right" vertical="center" wrapText="1"/>
    </xf>
    <xf numFmtId="0" fontId="112" fillId="5" borderId="10" xfId="0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right" vertical="center" wrapText="1"/>
    </xf>
    <xf numFmtId="0" fontId="14" fillId="5" borderId="16" xfId="0" applyFont="1" applyFill="1" applyBorder="1" applyAlignment="1">
      <alignment horizontal="right" vertical="center" wrapText="1"/>
    </xf>
    <xf numFmtId="0" fontId="97" fillId="5" borderId="10" xfId="0" applyFont="1" applyFill="1" applyBorder="1" applyAlignment="1">
      <alignment horizontal="right" vertical="center" wrapText="1"/>
    </xf>
    <xf numFmtId="0" fontId="97" fillId="5" borderId="17" xfId="0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right" vertical="center" wrapText="1"/>
    </xf>
    <xf numFmtId="9" fontId="105" fillId="5" borderId="18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right" vertical="center" wrapText="1"/>
    </xf>
    <xf numFmtId="0" fontId="112" fillId="5" borderId="18" xfId="0" applyFont="1" applyFill="1" applyBorder="1" applyAlignment="1">
      <alignment horizontal="right" vertical="center" wrapText="1"/>
    </xf>
    <xf numFmtId="1" fontId="69" fillId="45" borderId="0" xfId="0" applyNumberFormat="1" applyFont="1" applyFill="1" applyAlignment="1">
      <alignment/>
    </xf>
    <xf numFmtId="185" fontId="113" fillId="39" borderId="19" xfId="0" applyNumberFormat="1" applyFont="1" applyFill="1" applyBorder="1" applyAlignment="1">
      <alignment vertical="center" wrapText="1"/>
    </xf>
    <xf numFmtId="184" fontId="0" fillId="0" borderId="0" xfId="0" applyNumberFormat="1" applyFont="1" applyAlignment="1">
      <alignment horizontal="left" wrapText="1"/>
    </xf>
    <xf numFmtId="184" fontId="88" fillId="4" borderId="10" xfId="0" applyNumberFormat="1" applyFont="1" applyFill="1" applyBorder="1" applyAlignment="1">
      <alignment vertical="top" wrapText="1"/>
    </xf>
    <xf numFmtId="185" fontId="88" fillId="0" borderId="10" xfId="0" applyNumberFormat="1" applyFont="1" applyBorder="1" applyAlignment="1">
      <alignment vertical="top" wrapText="1"/>
    </xf>
    <xf numFmtId="191" fontId="6" fillId="49" borderId="10" xfId="0" applyNumberFormat="1" applyFont="1" applyFill="1" applyBorder="1" applyAlignment="1">
      <alignment horizontal="center" vertical="center" wrapText="1"/>
    </xf>
    <xf numFmtId="191" fontId="6" fillId="5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114" fillId="49" borderId="10" xfId="0" applyFont="1" applyFill="1" applyBorder="1" applyAlignment="1">
      <alignment horizontal="left" vertical="center" wrapText="1"/>
    </xf>
    <xf numFmtId="0" fontId="115" fillId="49" borderId="10" xfId="0" applyFont="1" applyFill="1" applyBorder="1" applyAlignment="1">
      <alignment horizontal="center" vertical="center" wrapText="1"/>
    </xf>
    <xf numFmtId="0" fontId="115" fillId="49" borderId="22" xfId="0" applyFont="1" applyFill="1" applyBorder="1" applyAlignment="1">
      <alignment horizontal="center" vertical="center" wrapText="1"/>
    </xf>
    <xf numFmtId="0" fontId="115" fillId="49" borderId="26" xfId="0" applyFont="1" applyFill="1" applyBorder="1" applyAlignment="1">
      <alignment horizontal="center" vertical="center" wrapText="1"/>
    </xf>
    <xf numFmtId="0" fontId="116" fillId="49" borderId="10" xfId="0" applyFont="1" applyFill="1" applyBorder="1" applyAlignment="1">
      <alignment horizontal="center" vertical="center" wrapText="1"/>
    </xf>
    <xf numFmtId="0" fontId="115" fillId="49" borderId="27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115" fillId="49" borderId="28" xfId="0" applyFont="1" applyFill="1" applyBorder="1" applyAlignment="1">
      <alignment horizontal="center" vertical="center" wrapText="1"/>
    </xf>
    <xf numFmtId="0" fontId="114" fillId="49" borderId="10" xfId="0" applyFont="1" applyFill="1" applyBorder="1" applyAlignment="1">
      <alignment horizontal="center" vertical="center" wrapText="1"/>
    </xf>
    <xf numFmtId="0" fontId="114" fillId="7" borderId="10" xfId="0" applyFont="1" applyFill="1" applyBorder="1" applyAlignment="1">
      <alignment horizontal="center" vertical="center" wrapText="1"/>
    </xf>
    <xf numFmtId="0" fontId="114" fillId="7" borderId="23" xfId="0" applyFont="1" applyFill="1" applyBorder="1" applyAlignment="1">
      <alignment horizontal="center" vertical="center" wrapText="1"/>
    </xf>
    <xf numFmtId="14" fontId="6" fillId="49" borderId="10" xfId="0" applyNumberFormat="1" applyFont="1" applyFill="1" applyBorder="1" applyAlignment="1">
      <alignment horizontal="center" vertical="center" wrapText="1"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0" fillId="4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0" fillId="0" borderId="0" xfId="53" applyFont="1" applyFill="1">
      <alignment/>
      <protection/>
    </xf>
    <xf numFmtId="0" fontId="10" fillId="10" borderId="29" xfId="53" applyFont="1" applyFill="1" applyBorder="1" applyAlignment="1">
      <alignment horizontal="left" vertical="top" wrapText="1"/>
      <protection/>
    </xf>
    <xf numFmtId="0" fontId="117" fillId="0" borderId="0" xfId="53" applyFont="1" applyFill="1" applyAlignment="1">
      <alignment horizontal="left" vertical="top" wrapText="1"/>
      <protection/>
    </xf>
    <xf numFmtId="0" fontId="10" fillId="13" borderId="29" xfId="53" applyFont="1" applyFill="1" applyBorder="1" applyAlignment="1">
      <alignment horizontal="left" vertical="top" wrapText="1"/>
      <protection/>
    </xf>
    <xf numFmtId="0" fontId="10" fillId="10" borderId="30" xfId="53" applyFont="1" applyFill="1" applyBorder="1" applyAlignment="1" applyProtection="1">
      <alignment horizontal="left" vertical="top" wrapText="1"/>
      <protection/>
    </xf>
    <xf numFmtId="0" fontId="28" fillId="0" borderId="0" xfId="53" applyFont="1" applyFill="1" applyAlignment="1" applyProtection="1">
      <alignment horizontal="left" vertical="top" wrapText="1"/>
      <protection/>
    </xf>
    <xf numFmtId="0" fontId="10" fillId="13" borderId="30" xfId="53" applyFont="1" applyFill="1" applyBorder="1" applyAlignment="1" applyProtection="1">
      <alignment horizontal="left" vertical="top" wrapText="1"/>
      <protection/>
    </xf>
    <xf numFmtId="0" fontId="10" fillId="10" borderId="31" xfId="53" applyFont="1" applyFill="1" applyBorder="1" applyAlignment="1">
      <alignment horizontal="left" vertical="top" wrapText="1"/>
      <protection/>
    </xf>
    <xf numFmtId="2" fontId="118" fillId="4" borderId="10" xfId="53" applyNumberFormat="1" applyFont="1" applyFill="1" applyBorder="1" applyAlignment="1">
      <alignment horizontal="center"/>
      <protection/>
    </xf>
    <xf numFmtId="0" fontId="118" fillId="4" borderId="10" xfId="53" applyNumberFormat="1" applyFont="1" applyFill="1" applyBorder="1" applyAlignment="1">
      <alignment horizontal="center"/>
      <protection/>
    </xf>
    <xf numFmtId="1" fontId="118" fillId="4" borderId="10" xfId="53" applyNumberFormat="1" applyFont="1" applyFill="1" applyBorder="1" applyAlignment="1">
      <alignment horizontal="center"/>
      <protection/>
    </xf>
    <xf numFmtId="185" fontId="118" fillId="4" borderId="10" xfId="53" applyNumberFormat="1" applyFont="1" applyFill="1" applyBorder="1" applyAlignment="1">
      <alignment horizontal="center"/>
      <protection/>
    </xf>
    <xf numFmtId="0" fontId="119" fillId="4" borderId="0" xfId="53" applyFont="1" applyFill="1" applyBorder="1" applyAlignment="1">
      <alignment horizontal="right" wrapText="1"/>
      <protection/>
    </xf>
    <xf numFmtId="191" fontId="119" fillId="4" borderId="0" xfId="53" applyNumberFormat="1" applyFont="1" applyFill="1" applyBorder="1" applyAlignment="1">
      <alignment horizontal="left" wrapText="1"/>
      <protection/>
    </xf>
    <xf numFmtId="0" fontId="119" fillId="4" borderId="0" xfId="53" applyFont="1" applyFill="1" applyBorder="1" applyAlignment="1">
      <alignment horizontal="left" wrapText="1"/>
      <protection/>
    </xf>
    <xf numFmtId="184" fontId="119" fillId="0" borderId="0" xfId="53" applyNumberFormat="1" applyFont="1" applyFill="1" applyBorder="1" applyAlignment="1">
      <alignment horizontal="left" wrapText="1"/>
      <protection/>
    </xf>
    <xf numFmtId="185" fontId="119" fillId="0" borderId="0" xfId="53" applyNumberFormat="1" applyFont="1" applyFill="1" applyBorder="1" applyAlignment="1">
      <alignment horizontal="left" wrapText="1"/>
      <protection/>
    </xf>
    <xf numFmtId="0" fontId="119" fillId="0" borderId="0" xfId="53" applyFont="1" applyFill="1" applyBorder="1" applyAlignment="1">
      <alignment horizontal="left" wrapText="1"/>
      <protection/>
    </xf>
    <xf numFmtId="2" fontId="119" fillId="4" borderId="10" xfId="53" applyNumberFormat="1" applyFont="1" applyFill="1" applyBorder="1" applyAlignment="1">
      <alignment horizontal="center"/>
      <protection/>
    </xf>
    <xf numFmtId="0" fontId="119" fillId="4" borderId="10" xfId="53" applyNumberFormat="1" applyFont="1" applyFill="1" applyBorder="1" applyAlignment="1">
      <alignment horizontal="center"/>
      <protection/>
    </xf>
    <xf numFmtId="1" fontId="119" fillId="4" borderId="10" xfId="53" applyNumberFormat="1" applyFont="1" applyFill="1" applyBorder="1" applyAlignment="1">
      <alignment horizontal="center"/>
      <protection/>
    </xf>
    <xf numFmtId="0" fontId="119" fillId="0" borderId="0" xfId="53" applyFont="1" applyFill="1" applyBorder="1" applyAlignment="1">
      <alignment horizontal="right" wrapText="1"/>
      <protection/>
    </xf>
    <xf numFmtId="191" fontId="119" fillId="4" borderId="10" xfId="53" applyNumberFormat="1" applyFont="1" applyFill="1" applyBorder="1" applyAlignment="1">
      <alignment horizontal="center"/>
      <protection/>
    </xf>
    <xf numFmtId="185" fontId="119" fillId="4" borderId="10" xfId="53" applyNumberFormat="1" applyFont="1" applyFill="1" applyBorder="1" applyAlignment="1">
      <alignment horizontal="center"/>
      <protection/>
    </xf>
    <xf numFmtId="2" fontId="118" fillId="7" borderId="10" xfId="53" applyNumberFormat="1" applyFont="1" applyFill="1" applyBorder="1" applyAlignment="1">
      <alignment horizontal="center"/>
      <protection/>
    </xf>
    <xf numFmtId="0" fontId="118" fillId="7" borderId="10" xfId="53" applyNumberFormat="1" applyFont="1" applyFill="1" applyBorder="1" applyAlignment="1">
      <alignment horizontal="center"/>
      <protection/>
    </xf>
    <xf numFmtId="1" fontId="118" fillId="7" borderId="10" xfId="53" applyNumberFormat="1" applyFont="1" applyFill="1" applyBorder="1" applyAlignment="1">
      <alignment horizontal="center"/>
      <protection/>
    </xf>
    <xf numFmtId="0" fontId="119" fillId="7" borderId="0" xfId="53" applyFont="1" applyFill="1" applyBorder="1" applyAlignment="1">
      <alignment horizontal="right" wrapText="1"/>
      <protection/>
    </xf>
    <xf numFmtId="191" fontId="119" fillId="7" borderId="0" xfId="53" applyNumberFormat="1" applyFont="1" applyFill="1" applyBorder="1" applyAlignment="1">
      <alignment horizontal="left" wrapText="1"/>
      <protection/>
    </xf>
    <xf numFmtId="0" fontId="119" fillId="7" borderId="0" xfId="53" applyFont="1" applyFill="1" applyBorder="1" applyAlignment="1">
      <alignment horizontal="left" wrapText="1"/>
      <protection/>
    </xf>
    <xf numFmtId="2" fontId="119" fillId="7" borderId="10" xfId="53" applyNumberFormat="1" applyFont="1" applyFill="1" applyBorder="1" applyAlignment="1">
      <alignment horizontal="center"/>
      <protection/>
    </xf>
    <xf numFmtId="0" fontId="119" fillId="7" borderId="10" xfId="53" applyNumberFormat="1" applyFont="1" applyFill="1" applyBorder="1" applyAlignment="1">
      <alignment horizontal="center"/>
      <protection/>
    </xf>
    <xf numFmtId="1" fontId="119" fillId="7" borderId="10" xfId="53" applyNumberFormat="1" applyFont="1" applyFill="1" applyBorder="1" applyAlignment="1">
      <alignment horizontal="center"/>
      <protection/>
    </xf>
    <xf numFmtId="191" fontId="119" fillId="7" borderId="10" xfId="53" applyNumberFormat="1" applyFont="1" applyFill="1" applyBorder="1" applyAlignment="1">
      <alignment horizontal="center"/>
      <protection/>
    </xf>
    <xf numFmtId="2" fontId="118" fillId="51" borderId="10" xfId="53" applyNumberFormat="1" applyFont="1" applyFill="1" applyBorder="1" applyAlignment="1">
      <alignment horizontal="center"/>
      <protection/>
    </xf>
    <xf numFmtId="0" fontId="118" fillId="51" borderId="10" xfId="53" applyNumberFormat="1" applyFont="1" applyFill="1" applyBorder="1" applyAlignment="1">
      <alignment horizontal="center"/>
      <protection/>
    </xf>
    <xf numFmtId="1" fontId="118" fillId="51" borderId="10" xfId="53" applyNumberFormat="1" applyFont="1" applyFill="1" applyBorder="1" applyAlignment="1">
      <alignment horizontal="center"/>
      <protection/>
    </xf>
    <xf numFmtId="0" fontId="119" fillId="51" borderId="0" xfId="53" applyFont="1" applyFill="1" applyBorder="1" applyAlignment="1">
      <alignment horizontal="right" wrapText="1"/>
      <protection/>
    </xf>
    <xf numFmtId="191" fontId="119" fillId="51" borderId="0" xfId="53" applyNumberFormat="1" applyFont="1" applyFill="1" applyBorder="1" applyAlignment="1">
      <alignment horizontal="left" wrapText="1"/>
      <protection/>
    </xf>
    <xf numFmtId="0" fontId="119" fillId="51" borderId="0" xfId="53" applyFont="1" applyFill="1" applyBorder="1" applyAlignment="1">
      <alignment horizontal="left" wrapText="1"/>
      <protection/>
    </xf>
    <xf numFmtId="0" fontId="119" fillId="51" borderId="10" xfId="53" applyNumberFormat="1" applyFont="1" applyFill="1" applyBorder="1" applyAlignment="1">
      <alignment horizontal="center"/>
      <protection/>
    </xf>
    <xf numFmtId="191" fontId="118" fillId="51" borderId="10" xfId="53" applyNumberFormat="1" applyFont="1" applyFill="1" applyBorder="1" applyAlignment="1">
      <alignment horizontal="center"/>
      <protection/>
    </xf>
    <xf numFmtId="0" fontId="120" fillId="0" borderId="0" xfId="53" applyFont="1" applyFill="1" applyAlignment="1">
      <alignment horizontal="left" vertical="top" wrapText="1"/>
      <protection/>
    </xf>
    <xf numFmtId="0" fontId="29" fillId="0" borderId="0" xfId="53" applyFont="1" applyFill="1" applyAlignment="1">
      <alignment horizontal="left" vertical="top" wrapText="1"/>
      <protection/>
    </xf>
    <xf numFmtId="0" fontId="30" fillId="0" borderId="0" xfId="53" applyFont="1" applyFill="1" applyAlignment="1" applyProtection="1">
      <alignment horizontal="left" vertical="top" wrapText="1"/>
      <protection/>
    </xf>
    <xf numFmtId="0" fontId="29" fillId="0" borderId="0" xfId="53" applyFont="1" applyFill="1" applyAlignment="1" applyProtection="1">
      <alignment horizontal="left" vertical="top" wrapText="1"/>
      <protection/>
    </xf>
    <xf numFmtId="0" fontId="10" fillId="10" borderId="29" xfId="53" applyFont="1" applyFill="1" applyBorder="1" applyAlignment="1">
      <alignment horizontal="center" vertical="top" wrapText="1"/>
      <protection/>
    </xf>
    <xf numFmtId="0" fontId="10" fillId="10" borderId="31" xfId="53" applyFont="1" applyFill="1" applyBorder="1" applyAlignment="1">
      <alignment horizontal="center" vertical="top" wrapText="1"/>
      <protection/>
    </xf>
    <xf numFmtId="0" fontId="118" fillId="4" borderId="10" xfId="53" applyFont="1" applyFill="1" applyBorder="1" applyAlignment="1">
      <alignment horizontal="center" vertical="center"/>
      <protection/>
    </xf>
    <xf numFmtId="0" fontId="118" fillId="7" borderId="10" xfId="53" applyFont="1" applyFill="1" applyBorder="1" applyAlignment="1">
      <alignment horizontal="center" vertical="center"/>
      <protection/>
    </xf>
    <xf numFmtId="0" fontId="118" fillId="51" borderId="10" xfId="53" applyFont="1" applyFill="1" applyBorder="1" applyAlignment="1">
      <alignment horizontal="center" vertical="center"/>
      <protection/>
    </xf>
    <xf numFmtId="0" fontId="10" fillId="13" borderId="29" xfId="53" applyFont="1" applyFill="1" applyBorder="1" applyAlignment="1">
      <alignment horizontal="center" vertical="top" wrapText="1"/>
      <protection/>
    </xf>
    <xf numFmtId="14" fontId="10" fillId="10" borderId="29" xfId="53" applyNumberFormat="1" applyFont="1" applyFill="1" applyBorder="1" applyAlignment="1">
      <alignment horizontal="left" vertical="top" wrapText="1"/>
      <protection/>
    </xf>
    <xf numFmtId="14" fontId="10" fillId="13" borderId="29" xfId="53" applyNumberFormat="1" applyFont="1" applyFill="1" applyBorder="1" applyAlignment="1">
      <alignment horizontal="left" vertical="top" wrapText="1"/>
      <protection/>
    </xf>
    <xf numFmtId="14" fontId="10" fillId="10" borderId="31" xfId="53" applyNumberFormat="1" applyFont="1" applyFill="1" applyBorder="1" applyAlignment="1">
      <alignment horizontal="left" vertical="top" wrapText="1"/>
      <protection/>
    </xf>
    <xf numFmtId="14" fontId="10" fillId="10" borderId="30" xfId="53" applyNumberFormat="1" applyFont="1" applyFill="1" applyBorder="1" applyAlignment="1" applyProtection="1">
      <alignment horizontal="left" vertical="top" wrapText="1"/>
      <protection/>
    </xf>
    <xf numFmtId="14" fontId="10" fillId="13" borderId="30" xfId="53" applyNumberFormat="1" applyFont="1" applyFill="1" applyBorder="1" applyAlignment="1" applyProtection="1">
      <alignment horizontal="left" vertical="top" wrapText="1"/>
      <protection/>
    </xf>
    <xf numFmtId="0" fontId="100" fillId="36" borderId="10" xfId="0" applyFont="1" applyFill="1" applyBorder="1" applyAlignment="1">
      <alignment horizontal="center" vertical="top" wrapText="1"/>
    </xf>
    <xf numFmtId="0" fontId="99" fillId="36" borderId="10" xfId="0" applyFont="1" applyFill="1" applyBorder="1" applyAlignment="1">
      <alignment horizontal="center" vertical="top" wrapText="1"/>
    </xf>
    <xf numFmtId="0" fontId="99" fillId="36" borderId="12" xfId="0" applyFont="1" applyFill="1" applyBorder="1" applyAlignment="1">
      <alignment horizontal="center" vertical="top" wrapText="1"/>
    </xf>
    <xf numFmtId="0" fontId="10" fillId="10" borderId="32" xfId="53" applyFont="1" applyFill="1" applyBorder="1" applyAlignment="1">
      <alignment horizontal="left" vertical="top" wrapText="1"/>
      <protection/>
    </xf>
    <xf numFmtId="14" fontId="10" fillId="10" borderId="32" xfId="53" applyNumberFormat="1" applyFont="1" applyFill="1" applyBorder="1" applyAlignment="1">
      <alignment horizontal="left" vertical="top" wrapText="1"/>
      <protection/>
    </xf>
    <xf numFmtId="0" fontId="10" fillId="10" borderId="32" xfId="53" applyFont="1" applyFill="1" applyBorder="1" applyAlignment="1">
      <alignment horizontal="center" vertical="top" wrapText="1"/>
      <protection/>
    </xf>
    <xf numFmtId="0" fontId="121" fillId="0" borderId="29" xfId="53" applyFont="1" applyFill="1" applyBorder="1" applyAlignment="1">
      <alignment horizontal="center" vertical="top" wrapText="1"/>
      <protection/>
    </xf>
    <xf numFmtId="191" fontId="88" fillId="4" borderId="10" xfId="0" applyNumberFormat="1" applyFont="1" applyFill="1" applyBorder="1" applyAlignment="1">
      <alignment vertical="top" wrapText="1"/>
    </xf>
    <xf numFmtId="191" fontId="0" fillId="4" borderId="10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88" fillId="0" borderId="0" xfId="0" applyFont="1" applyFill="1" applyAlignment="1">
      <alignment/>
    </xf>
    <xf numFmtId="191" fontId="0" fillId="0" borderId="10" xfId="0" applyNumberFormat="1" applyBorder="1" applyAlignment="1">
      <alignment vertical="top" wrapText="1"/>
    </xf>
    <xf numFmtId="191" fontId="8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01" fillId="37" borderId="12" xfId="0" applyFont="1" applyFill="1" applyBorder="1" applyAlignment="1">
      <alignment vertical="center" wrapText="1"/>
    </xf>
    <xf numFmtId="185" fontId="101" fillId="37" borderId="13" xfId="0" applyNumberFormat="1" applyFont="1" applyFill="1" applyBorder="1" applyAlignment="1">
      <alignment vertical="center" wrapText="1"/>
    </xf>
    <xf numFmtId="0" fontId="100" fillId="36" borderId="12" xfId="0" applyFont="1" applyFill="1" applyBorder="1" applyAlignment="1">
      <alignment horizontal="center" vertical="top" wrapText="1"/>
    </xf>
    <xf numFmtId="0" fontId="102" fillId="38" borderId="12" xfId="0" applyFont="1" applyFill="1" applyBorder="1" applyAlignment="1">
      <alignment vertical="center" wrapText="1"/>
    </xf>
    <xf numFmtId="185" fontId="102" fillId="43" borderId="13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99" fillId="36" borderId="10" xfId="0" applyFont="1" applyFill="1" applyBorder="1" applyAlignment="1">
      <alignment horizontal="center" vertical="top" wrapText="1"/>
    </xf>
    <xf numFmtId="0" fontId="99" fillId="36" borderId="12" xfId="0" applyFont="1" applyFill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right"/>
      <protection/>
    </xf>
    <xf numFmtId="0" fontId="20" fillId="0" borderId="0" xfId="55" applyFont="1" applyAlignment="1">
      <alignment horizontal="right" vertical="top"/>
      <protection/>
    </xf>
    <xf numFmtId="0" fontId="20" fillId="0" borderId="0" xfId="55" applyFont="1" applyAlignment="1">
      <alignment horizontal="left"/>
      <protection/>
    </xf>
    <xf numFmtId="0" fontId="22" fillId="0" borderId="0" xfId="55" applyFont="1" applyBorder="1" applyAlignment="1">
      <alignment horizontal="center" vertical="top"/>
      <protection/>
    </xf>
    <xf numFmtId="0" fontId="22" fillId="0" borderId="0" xfId="55" applyFont="1" applyBorder="1" applyAlignment="1">
      <alignment vertical="center"/>
      <protection/>
    </xf>
    <xf numFmtId="0" fontId="22" fillId="0" borderId="0" xfId="55" applyFont="1" applyFill="1" applyBorder="1" applyAlignment="1">
      <alignment vertical="center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>
      <alignment/>
      <protection/>
    </xf>
    <xf numFmtId="0" fontId="20" fillId="0" borderId="0" xfId="55" applyFont="1" applyBorder="1" applyAlignment="1">
      <alignment horizontal="left"/>
      <protection/>
    </xf>
    <xf numFmtId="0" fontId="20" fillId="0" borderId="0" xfId="55" applyFont="1" applyAlignment="1">
      <alignment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0" xfId="55" applyFont="1" applyBorder="1" applyAlignment="1">
      <alignment horizontal="center" vertical="top"/>
      <protection/>
    </xf>
    <xf numFmtId="0" fontId="20" fillId="0" borderId="0" xfId="55" applyFont="1" applyAlignment="1">
      <alignment horizontal="center" vertical="top"/>
      <protection/>
    </xf>
    <xf numFmtId="0" fontId="20" fillId="0" borderId="0" xfId="55" applyFont="1" applyAlignment="1">
      <alignment horizontal="left" vertical="center" indent="4"/>
      <protection/>
    </xf>
    <xf numFmtId="0" fontId="95" fillId="0" borderId="34" xfId="0" applyFont="1" applyFill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1" fontId="97" fillId="37" borderId="17" xfId="0" applyNumberFormat="1" applyFont="1" applyFill="1" applyBorder="1" applyAlignment="1">
      <alignment vertical="center" wrapText="1"/>
    </xf>
    <xf numFmtId="185" fontId="101" fillId="37" borderId="20" xfId="0" applyNumberFormat="1" applyFont="1" applyFill="1" applyBorder="1" applyAlignment="1">
      <alignment vertical="center" wrapText="1"/>
    </xf>
    <xf numFmtId="0" fontId="102" fillId="43" borderId="16" xfId="0" applyFont="1" applyFill="1" applyBorder="1" applyAlignment="1">
      <alignment vertical="center" wrapText="1"/>
    </xf>
    <xf numFmtId="185" fontId="102" fillId="43" borderId="19" xfId="0" applyNumberFormat="1" applyFont="1" applyFill="1" applyBorder="1" applyAlignment="1">
      <alignment vertical="center" wrapText="1"/>
    </xf>
    <xf numFmtId="185" fontId="102" fillId="43" borderId="15" xfId="0" applyNumberFormat="1" applyFont="1" applyFill="1" applyBorder="1" applyAlignment="1">
      <alignment vertical="center" wrapText="1"/>
    </xf>
    <xf numFmtId="186" fontId="103" fillId="43" borderId="19" xfId="0" applyNumberFormat="1" applyFont="1" applyFill="1" applyBorder="1" applyAlignment="1">
      <alignment vertical="center" wrapText="1"/>
    </xf>
    <xf numFmtId="0" fontId="102" fillId="43" borderId="23" xfId="0" applyFont="1" applyFill="1" applyBorder="1" applyAlignment="1">
      <alignment vertical="center" wrapText="1"/>
    </xf>
    <xf numFmtId="2" fontId="122" fillId="39" borderId="16" xfId="0" applyNumberFormat="1" applyFont="1" applyFill="1" applyBorder="1" applyAlignment="1">
      <alignment vertical="center" wrapText="1"/>
    </xf>
    <xf numFmtId="185" fontId="102" fillId="39" borderId="16" xfId="0" applyNumberFormat="1" applyFont="1" applyFill="1" applyBorder="1" applyAlignment="1">
      <alignment vertical="center" wrapText="1"/>
    </xf>
    <xf numFmtId="1" fontId="97" fillId="5" borderId="14" xfId="0" applyNumberFormat="1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right" vertical="center" wrapText="1"/>
    </xf>
    <xf numFmtId="0" fontId="97" fillId="5" borderId="14" xfId="0" applyFont="1" applyFill="1" applyBorder="1" applyAlignment="1">
      <alignment horizontal="right" vertical="center" wrapText="1"/>
    </xf>
    <xf numFmtId="0" fontId="97" fillId="5" borderId="15" xfId="0" applyFont="1" applyFill="1" applyBorder="1" applyAlignment="1">
      <alignment horizontal="right" vertical="center" wrapText="1"/>
    </xf>
    <xf numFmtId="0" fontId="123" fillId="5" borderId="10" xfId="0" applyFont="1" applyFill="1" applyBorder="1" applyAlignment="1">
      <alignment horizontal="right" vertical="center" wrapText="1"/>
    </xf>
    <xf numFmtId="0" fontId="123" fillId="5" borderId="18" xfId="0" applyFont="1" applyFill="1" applyBorder="1" applyAlignment="1">
      <alignment horizontal="right" vertical="center" wrapText="1"/>
    </xf>
    <xf numFmtId="1" fontId="97" fillId="41" borderId="16" xfId="0" applyNumberFormat="1" applyFont="1" applyFill="1" applyBorder="1" applyAlignment="1">
      <alignment horizontal="right" vertical="center" wrapText="1"/>
    </xf>
    <xf numFmtId="0" fontId="0" fillId="40" borderId="21" xfId="0" applyFont="1" applyFill="1" applyBorder="1" applyAlignment="1">
      <alignment horizontal="center" vertical="top" wrapText="1"/>
    </xf>
    <xf numFmtId="0" fontId="0" fillId="40" borderId="11" xfId="0" applyFont="1" applyFill="1" applyBorder="1" applyAlignment="1">
      <alignment horizontal="center" vertical="top" wrapText="1"/>
    </xf>
    <xf numFmtId="0" fontId="124" fillId="0" borderId="22" xfId="53" applyFont="1" applyFill="1" applyBorder="1" applyAlignment="1">
      <alignment horizontal="center" vertical="center" wrapText="1"/>
      <protection/>
    </xf>
    <xf numFmtId="49" fontId="124" fillId="0" borderId="10" xfId="54" applyNumberFormat="1" applyFont="1" applyFill="1" applyBorder="1" applyAlignment="1">
      <alignment horizontal="center" vertical="center" wrapText="1"/>
      <protection/>
    </xf>
    <xf numFmtId="14" fontId="124" fillId="0" borderId="22" xfId="53" applyNumberFormat="1" applyFont="1" applyFill="1" applyBorder="1" applyAlignment="1">
      <alignment horizontal="center" vertical="center" wrapText="1"/>
      <protection/>
    </xf>
    <xf numFmtId="0" fontId="124" fillId="0" borderId="10" xfId="53" applyFont="1" applyFill="1" applyBorder="1" applyAlignment="1">
      <alignment horizontal="center" vertical="center" wrapText="1"/>
      <protection/>
    </xf>
    <xf numFmtId="14" fontId="124" fillId="0" borderId="10" xfId="53" applyNumberFormat="1" applyFont="1" applyFill="1" applyBorder="1" applyAlignment="1">
      <alignment horizontal="center" vertical="center" wrapText="1"/>
      <protection/>
    </xf>
    <xf numFmtId="0" fontId="124" fillId="0" borderId="12" xfId="53" applyFont="1" applyFill="1" applyBorder="1" applyAlignment="1">
      <alignment horizontal="center" vertical="center" wrapText="1"/>
      <protection/>
    </xf>
    <xf numFmtId="0" fontId="124" fillId="0" borderId="35" xfId="53" applyFont="1" applyFill="1" applyBorder="1" applyAlignment="1">
      <alignment horizontal="center" vertical="center" wrapText="1"/>
      <protection/>
    </xf>
    <xf numFmtId="0" fontId="124" fillId="0" borderId="36" xfId="53" applyFont="1" applyFill="1" applyBorder="1" applyAlignment="1">
      <alignment horizontal="center" vertical="center" wrapText="1"/>
      <protection/>
    </xf>
    <xf numFmtId="14" fontId="124" fillId="0" borderId="18" xfId="53" applyNumberFormat="1" applyFont="1" applyFill="1" applyBorder="1" applyAlignment="1">
      <alignment horizontal="center" vertical="center" wrapText="1"/>
      <protection/>
    </xf>
    <xf numFmtId="0" fontId="20" fillId="0" borderId="0" xfId="55" applyFont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25" fillId="0" borderId="37" xfId="0" applyFont="1" applyBorder="1" applyAlignment="1">
      <alignment horizontal="center" wrapText="1"/>
    </xf>
    <xf numFmtId="0" fontId="125" fillId="0" borderId="38" xfId="0" applyFont="1" applyBorder="1" applyAlignment="1">
      <alignment horizontal="center" wrapText="1"/>
    </xf>
    <xf numFmtId="0" fontId="125" fillId="0" borderId="42" xfId="0" applyFont="1" applyBorder="1" applyAlignment="1">
      <alignment horizontal="center" wrapText="1"/>
    </xf>
    <xf numFmtId="0" fontId="125" fillId="0" borderId="11" xfId="0" applyFont="1" applyBorder="1" applyAlignment="1">
      <alignment horizontal="center" wrapText="1"/>
    </xf>
    <xf numFmtId="1" fontId="123" fillId="5" borderId="10" xfId="0" applyNumberFormat="1" applyFont="1" applyFill="1" applyBorder="1" applyAlignment="1">
      <alignment horizontal="right" vertical="center" wrapText="1"/>
    </xf>
    <xf numFmtId="1" fontId="97" fillId="41" borderId="45" xfId="0" applyNumberFormat="1" applyFont="1" applyFill="1" applyBorder="1" applyAlignment="1">
      <alignment horizontal="right" vertical="center" wrapText="1"/>
    </xf>
    <xf numFmtId="1" fontId="97" fillId="41" borderId="46" xfId="0" applyNumberFormat="1" applyFont="1" applyFill="1" applyBorder="1" applyAlignment="1">
      <alignment horizontal="right" vertical="center" wrapText="1"/>
    </xf>
    <xf numFmtId="9" fontId="105" fillId="41" borderId="46" xfId="0" applyNumberFormat="1" applyFont="1" applyFill="1" applyBorder="1" applyAlignment="1">
      <alignment horizontal="right" vertical="center" wrapText="1"/>
    </xf>
    <xf numFmtId="1" fontId="97" fillId="41" borderId="47" xfId="0" applyNumberFormat="1" applyFont="1" applyFill="1" applyBorder="1" applyAlignment="1">
      <alignment horizontal="right" vertical="center" wrapText="1"/>
    </xf>
    <xf numFmtId="9" fontId="105" fillId="41" borderId="48" xfId="0" applyNumberFormat="1" applyFont="1" applyFill="1" applyBorder="1" applyAlignment="1">
      <alignment horizontal="right" vertical="center" wrapText="1"/>
    </xf>
    <xf numFmtId="9" fontId="105" fillId="41" borderId="17" xfId="0" applyNumberFormat="1" applyFont="1" applyFill="1" applyBorder="1" applyAlignment="1">
      <alignment horizontal="right" vertical="center" wrapText="1"/>
    </xf>
    <xf numFmtId="1" fontId="14" fillId="41" borderId="10" xfId="0" applyNumberFormat="1" applyFont="1" applyFill="1" applyBorder="1" applyAlignment="1">
      <alignment horizontal="right" vertical="center" wrapText="1"/>
    </xf>
    <xf numFmtId="0" fontId="33" fillId="44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8" fillId="44" borderId="10" xfId="0" applyFont="1" applyFill="1" applyBorder="1" applyAlignment="1">
      <alignment horizontal="center" vertical="center" wrapText="1"/>
    </xf>
    <xf numFmtId="185" fontId="38" fillId="52" borderId="10" xfId="0" applyNumberFormat="1" applyFont="1" applyFill="1" applyBorder="1" applyAlignment="1">
      <alignment horizontal="center" vertical="center" wrapText="1"/>
    </xf>
    <xf numFmtId="2" fontId="38" fillId="52" borderId="10" xfId="0" applyNumberFormat="1" applyFont="1" applyFill="1" applyBorder="1" applyAlignment="1">
      <alignment horizontal="center" vertical="center" wrapText="1"/>
    </xf>
    <xf numFmtId="2" fontId="38" fillId="33" borderId="23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/>
    </xf>
    <xf numFmtId="2" fontId="38" fillId="33" borderId="22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8" fillId="44" borderId="23" xfId="0" applyFont="1" applyFill="1" applyBorder="1" applyAlignment="1">
      <alignment horizontal="center" vertical="center" wrapText="1"/>
    </xf>
    <xf numFmtId="0" fontId="38" fillId="44" borderId="22" xfId="0" applyFont="1" applyFill="1" applyBorder="1" applyAlignment="1">
      <alignment horizontal="center" vertical="center" wrapText="1"/>
    </xf>
    <xf numFmtId="2" fontId="38" fillId="44" borderId="10" xfId="0" applyNumberFormat="1" applyFont="1" applyFill="1" applyBorder="1" applyAlignment="1">
      <alignment horizontal="center" vertical="center" wrapText="1"/>
    </xf>
    <xf numFmtId="1" fontId="38" fillId="4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85" fontId="33" fillId="0" borderId="10" xfId="0" applyNumberFormat="1" applyFont="1" applyFill="1" applyBorder="1" applyAlignment="1">
      <alignment/>
    </xf>
    <xf numFmtId="185" fontId="33" fillId="0" borderId="1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85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53" borderId="0" xfId="0" applyFill="1" applyAlignment="1">
      <alignment/>
    </xf>
    <xf numFmtId="2" fontId="0" fillId="0" borderId="35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33" fillId="0" borderId="10" xfId="0" applyNumberFormat="1" applyFont="1" applyBorder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22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justify" vertical="center"/>
      <protection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right" vertical="center" wrapText="1"/>
    </xf>
    <xf numFmtId="0" fontId="0" fillId="44" borderId="14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184" fontId="8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44" borderId="14" xfId="0" applyFont="1" applyFill="1" applyBorder="1" applyAlignment="1">
      <alignment horizontal="center" wrapText="1"/>
    </xf>
    <xf numFmtId="0" fontId="0" fillId="44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84" fontId="88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8" fillId="0" borderId="0" xfId="0" applyFont="1" applyAlignment="1">
      <alignment horizontal="left" wrapText="1"/>
    </xf>
    <xf numFmtId="0" fontId="88" fillId="0" borderId="14" xfId="0" applyFont="1" applyBorder="1" applyAlignment="1">
      <alignment horizontal="right" vertical="center" wrapText="1"/>
    </xf>
    <xf numFmtId="0" fontId="88" fillId="0" borderId="49" xfId="0" applyFont="1" applyBorder="1" applyAlignment="1">
      <alignment horizontal="right" vertical="center" wrapText="1"/>
    </xf>
    <xf numFmtId="0" fontId="88" fillId="0" borderId="16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wrapText="1"/>
    </xf>
    <xf numFmtId="0" fontId="88" fillId="0" borderId="12" xfId="57" applyNumberFormat="1" applyFont="1" applyFill="1" applyBorder="1" applyAlignment="1">
      <alignment horizontal="center" vertical="center" wrapText="1"/>
      <protection/>
    </xf>
    <xf numFmtId="0" fontId="88" fillId="0" borderId="10" xfId="57" applyNumberFormat="1" applyFont="1" applyFill="1" applyBorder="1" applyAlignment="1">
      <alignment horizontal="center" vertical="center" wrapText="1"/>
      <protection/>
    </xf>
    <xf numFmtId="0" fontId="88" fillId="0" borderId="17" xfId="57" applyNumberFormat="1" applyFont="1" applyFill="1" applyBorder="1" applyAlignment="1">
      <alignment horizontal="center" vertical="center" wrapText="1"/>
      <protection/>
    </xf>
    <xf numFmtId="0" fontId="114" fillId="34" borderId="10" xfId="0" applyFont="1" applyFill="1" applyBorder="1" applyAlignment="1">
      <alignment horizontal="center" wrapText="1"/>
    </xf>
    <xf numFmtId="0" fontId="88" fillId="34" borderId="10" xfId="0" applyFont="1" applyFill="1" applyBorder="1" applyAlignment="1">
      <alignment horizontal="center" vertical="center" wrapText="1"/>
    </xf>
    <xf numFmtId="0" fontId="107" fillId="34" borderId="14" xfId="0" applyFont="1" applyFill="1" applyBorder="1" applyAlignment="1">
      <alignment horizontal="center" wrapText="1"/>
    </xf>
    <xf numFmtId="0" fontId="107" fillId="34" borderId="16" xfId="0" applyFont="1" applyFill="1" applyBorder="1" applyAlignment="1">
      <alignment horizontal="center" wrapText="1"/>
    </xf>
    <xf numFmtId="0" fontId="88" fillId="34" borderId="51" xfId="0" applyFont="1" applyFill="1" applyBorder="1" applyAlignment="1">
      <alignment horizontal="center"/>
    </xf>
    <xf numFmtId="0" fontId="88" fillId="34" borderId="52" xfId="0" applyFont="1" applyFill="1" applyBorder="1" applyAlignment="1">
      <alignment horizontal="center"/>
    </xf>
    <xf numFmtId="0" fontId="88" fillId="34" borderId="53" xfId="0" applyFont="1" applyFill="1" applyBorder="1" applyAlignment="1">
      <alignment horizontal="center"/>
    </xf>
    <xf numFmtId="0" fontId="0" fillId="34" borderId="12" xfId="57" applyFont="1" applyFill="1" applyBorder="1" applyAlignment="1">
      <alignment horizontal="center" vertical="center" wrapText="1"/>
      <protection/>
    </xf>
    <xf numFmtId="0" fontId="0" fillId="34" borderId="10" xfId="57" applyFont="1" applyFill="1" applyBorder="1" applyAlignment="1">
      <alignment horizontal="center" vertical="center" wrapText="1"/>
      <protection/>
    </xf>
    <xf numFmtId="0" fontId="0" fillId="34" borderId="17" xfId="57" applyFont="1" applyFill="1" applyBorder="1" applyAlignment="1">
      <alignment horizontal="center" vertical="center" wrapText="1"/>
      <protection/>
    </xf>
    <xf numFmtId="0" fontId="0" fillId="34" borderId="14" xfId="57" applyFont="1" applyFill="1" applyBorder="1" applyAlignment="1">
      <alignment horizontal="center" vertical="center" wrapText="1"/>
      <protection/>
    </xf>
    <xf numFmtId="0" fontId="88" fillId="0" borderId="33" xfId="57" applyNumberFormat="1" applyFont="1" applyFill="1" applyBorder="1" applyAlignment="1">
      <alignment horizontal="center" vertical="center" wrapText="1"/>
      <protection/>
    </xf>
    <xf numFmtId="0" fontId="88" fillId="0" borderId="49" xfId="57" applyNumberFormat="1" applyFont="1" applyFill="1" applyBorder="1" applyAlignment="1">
      <alignment horizontal="center" vertical="center" wrapText="1"/>
      <protection/>
    </xf>
    <xf numFmtId="0" fontId="88" fillId="0" borderId="54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14" fillId="0" borderId="10" xfId="0" applyFont="1" applyFill="1" applyBorder="1" applyAlignment="1">
      <alignment horizontal="left" wrapText="1"/>
    </xf>
    <xf numFmtId="184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2" borderId="0" xfId="0" applyFont="1" applyFill="1" applyAlignment="1">
      <alignment horizontal="center"/>
    </xf>
    <xf numFmtId="0" fontId="126" fillId="0" borderId="12" xfId="57" applyNumberFormat="1" applyFont="1" applyFill="1" applyBorder="1" applyAlignment="1">
      <alignment horizontal="center" vertical="center" wrapText="1"/>
      <protection/>
    </xf>
    <xf numFmtId="0" fontId="126" fillId="0" borderId="14" xfId="57" applyNumberFormat="1" applyFont="1" applyFill="1" applyBorder="1" applyAlignment="1">
      <alignment horizontal="center" vertical="center" wrapText="1"/>
      <protection/>
    </xf>
    <xf numFmtId="0" fontId="0" fillId="34" borderId="51" xfId="57" applyNumberFormat="1" applyFont="1" applyFill="1" applyBorder="1" applyAlignment="1">
      <alignment horizontal="center" vertical="center" wrapText="1"/>
      <protection/>
    </xf>
    <xf numFmtId="0" fontId="0" fillId="34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8" fillId="0" borderId="0" xfId="0" applyFont="1" applyBorder="1" applyAlignment="1">
      <alignment horizontal="left" wrapText="1"/>
    </xf>
    <xf numFmtId="0" fontId="0" fillId="34" borderId="56" xfId="57" applyNumberFormat="1" applyFont="1" applyFill="1" applyBorder="1" applyAlignment="1">
      <alignment horizontal="center" vertical="center" wrapText="1"/>
      <protection/>
    </xf>
    <xf numFmtId="0" fontId="0" fillId="34" borderId="14" xfId="57" applyNumberFormat="1" applyFont="1" applyFill="1" applyBorder="1" applyAlignment="1">
      <alignment horizontal="center" vertical="center" wrapText="1"/>
      <protection/>
    </xf>
    <xf numFmtId="0" fontId="0" fillId="34" borderId="51" xfId="0" applyFont="1" applyFill="1" applyBorder="1" applyAlignment="1">
      <alignment horizontal="center" wrapText="1"/>
    </xf>
    <xf numFmtId="0" fontId="0" fillId="34" borderId="52" xfId="0" applyFont="1" applyFill="1" applyBorder="1" applyAlignment="1">
      <alignment horizontal="center" wrapText="1"/>
    </xf>
    <xf numFmtId="0" fontId="0" fillId="34" borderId="53" xfId="0" applyFont="1" applyFill="1" applyBorder="1" applyAlignment="1">
      <alignment horizontal="center" wrapText="1"/>
    </xf>
    <xf numFmtId="0" fontId="114" fillId="0" borderId="14" xfId="0" applyFont="1" applyFill="1" applyBorder="1" applyAlignment="1">
      <alignment horizontal="left" wrapText="1"/>
    </xf>
    <xf numFmtId="0" fontId="114" fillId="0" borderId="49" xfId="0" applyFont="1" applyFill="1" applyBorder="1" applyAlignment="1">
      <alignment horizontal="left" wrapText="1"/>
    </xf>
    <xf numFmtId="0" fontId="114" fillId="0" borderId="16" xfId="0" applyFont="1" applyFill="1" applyBorder="1" applyAlignment="1">
      <alignment horizontal="left" wrapText="1"/>
    </xf>
    <xf numFmtId="0" fontId="126" fillId="0" borderId="13" xfId="57" applyNumberFormat="1" applyFont="1" applyFill="1" applyBorder="1" applyAlignment="1">
      <alignment horizontal="center" vertical="center" wrapText="1"/>
      <protection/>
    </xf>
    <xf numFmtId="0" fontId="126" fillId="0" borderId="15" xfId="57" applyNumberFormat="1" applyFont="1" applyFill="1" applyBorder="1" applyAlignment="1">
      <alignment horizontal="center" vertical="center" wrapText="1"/>
      <protection/>
    </xf>
    <xf numFmtId="49" fontId="126" fillId="0" borderId="57" xfId="57" applyNumberFormat="1" applyFont="1" applyFill="1" applyBorder="1" applyAlignment="1">
      <alignment horizontal="center" vertical="center" wrapText="1"/>
      <protection/>
    </xf>
    <xf numFmtId="49" fontId="126" fillId="0" borderId="58" xfId="57" applyNumberFormat="1" applyFont="1" applyFill="1" applyBorder="1" applyAlignment="1">
      <alignment horizontal="center" vertical="center" wrapText="1"/>
      <protection/>
    </xf>
    <xf numFmtId="49" fontId="126" fillId="0" borderId="59" xfId="57" applyNumberFormat="1" applyFont="1" applyFill="1" applyBorder="1" applyAlignment="1">
      <alignment horizontal="center" vertical="center" wrapText="1"/>
      <protection/>
    </xf>
    <xf numFmtId="0" fontId="0" fillId="0" borderId="60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 wrapText="1"/>
      <protection/>
    </xf>
    <xf numFmtId="0" fontId="0" fillId="0" borderId="61" xfId="57" applyFont="1" applyFill="1" applyBorder="1" applyAlignment="1">
      <alignment horizontal="center" vertical="center" wrapText="1"/>
      <protection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33" xfId="57" applyFont="1" applyFill="1" applyBorder="1" applyAlignment="1">
      <alignment horizontal="center" vertical="center" wrapText="1"/>
      <protection/>
    </xf>
    <xf numFmtId="0" fontId="0" fillId="34" borderId="49" xfId="57" applyFont="1" applyFill="1" applyBorder="1" applyAlignment="1">
      <alignment horizontal="center" vertical="center" wrapText="1"/>
      <protection/>
    </xf>
    <xf numFmtId="0" fontId="0" fillId="34" borderId="16" xfId="57" applyFont="1" applyFill="1" applyBorder="1" applyAlignment="1">
      <alignment horizontal="center" vertical="center" wrapText="1"/>
      <protection/>
    </xf>
    <xf numFmtId="0" fontId="0" fillId="34" borderId="33" xfId="57" applyNumberFormat="1" applyFont="1" applyFill="1" applyBorder="1" applyAlignment="1">
      <alignment horizontal="center" vertical="center" wrapText="1"/>
      <protection/>
    </xf>
    <xf numFmtId="0" fontId="0" fillId="34" borderId="16" xfId="57" applyNumberFormat="1" applyFont="1" applyFill="1" applyBorder="1" applyAlignment="1">
      <alignment horizontal="center" vertical="center" wrapText="1"/>
      <protection/>
    </xf>
    <xf numFmtId="0" fontId="0" fillId="0" borderId="33" xfId="57" applyNumberFormat="1" applyFont="1" applyFill="1" applyBorder="1" applyAlignment="1">
      <alignment horizontal="center" vertical="center" wrapText="1"/>
      <protection/>
    </xf>
    <xf numFmtId="0" fontId="0" fillId="0" borderId="16" xfId="57" applyNumberFormat="1" applyFont="1" applyFill="1" applyBorder="1" applyAlignment="1">
      <alignment horizontal="center" vertical="center" wrapText="1"/>
      <protection/>
    </xf>
    <xf numFmtId="0" fontId="88" fillId="0" borderId="36" xfId="57" applyNumberFormat="1" applyFont="1" applyFill="1" applyBorder="1" applyAlignment="1">
      <alignment horizontal="center" vertical="center" wrapText="1"/>
      <protection/>
    </xf>
    <xf numFmtId="0" fontId="88" fillId="0" borderId="19" xfId="57" applyNumberFormat="1" applyFont="1" applyFill="1" applyBorder="1" applyAlignment="1">
      <alignment horizontal="center" vertical="center" wrapText="1"/>
      <protection/>
    </xf>
    <xf numFmtId="0" fontId="114" fillId="34" borderId="14" xfId="0" applyFont="1" applyFill="1" applyBorder="1" applyAlignment="1">
      <alignment horizontal="center" wrapText="1"/>
    </xf>
    <xf numFmtId="0" fontId="114" fillId="34" borderId="49" xfId="0" applyFont="1" applyFill="1" applyBorder="1" applyAlignment="1">
      <alignment horizontal="center" wrapText="1"/>
    </xf>
    <xf numFmtId="0" fontId="114" fillId="34" borderId="16" xfId="0" applyFont="1" applyFill="1" applyBorder="1" applyAlignment="1">
      <alignment horizontal="center" wrapText="1"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0" fillId="44" borderId="16" xfId="57" applyNumberFormat="1" applyFont="1" applyFill="1" applyBorder="1" applyAlignment="1">
      <alignment horizontal="center" vertical="center" wrapText="1"/>
      <protection/>
    </xf>
    <xf numFmtId="0" fontId="88" fillId="0" borderId="15" xfId="57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top" wrapText="1"/>
    </xf>
    <xf numFmtId="0" fontId="5" fillId="4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20" fillId="0" borderId="0" xfId="55" applyFont="1" applyAlignment="1">
      <alignment horizontal="left" wrapText="1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55" xfId="0" applyFont="1" applyBorder="1" applyAlignment="1">
      <alignment horizontal="center"/>
    </xf>
    <xf numFmtId="0" fontId="38" fillId="44" borderId="23" xfId="0" applyFont="1" applyFill="1" applyBorder="1" applyAlignment="1">
      <alignment horizontal="center" vertical="center" wrapText="1"/>
    </xf>
    <xf numFmtId="0" fontId="38" fillId="44" borderId="22" xfId="0" applyFont="1" applyFill="1" applyBorder="1" applyAlignment="1">
      <alignment horizontal="center" vertical="center" wrapText="1"/>
    </xf>
    <xf numFmtId="2" fontId="38" fillId="33" borderId="23" xfId="0" applyNumberFormat="1" applyFont="1" applyFill="1" applyBorder="1" applyAlignment="1">
      <alignment horizontal="center" vertical="center" wrapText="1"/>
    </xf>
    <xf numFmtId="2" fontId="38" fillId="33" borderId="22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3" fillId="4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52" borderId="23" xfId="0" applyFont="1" applyFill="1" applyBorder="1" applyAlignment="1">
      <alignment horizontal="center" vertical="center" wrapText="1"/>
    </xf>
    <xf numFmtId="0" fontId="33" fillId="52" borderId="22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 wrapText="1"/>
    </xf>
    <xf numFmtId="0" fontId="0" fillId="52" borderId="10" xfId="0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55" applyFont="1" applyAlignment="1">
      <alignment horizontal="left" vertical="top" wrapText="1"/>
      <protection/>
    </xf>
    <xf numFmtId="0" fontId="99" fillId="36" borderId="51" xfId="0" applyFont="1" applyFill="1" applyBorder="1" applyAlignment="1">
      <alignment horizontal="center" vertical="center" wrapText="1"/>
    </xf>
    <xf numFmtId="0" fontId="99" fillId="36" borderId="12" xfId="0" applyFont="1" applyFill="1" applyBorder="1" applyAlignment="1">
      <alignment horizontal="center" vertical="center" wrapText="1"/>
    </xf>
    <xf numFmtId="0" fontId="99" fillId="36" borderId="51" xfId="0" applyFont="1" applyFill="1" applyBorder="1" applyAlignment="1">
      <alignment horizontal="center"/>
    </xf>
    <xf numFmtId="0" fontId="99" fillId="36" borderId="52" xfId="0" applyFont="1" applyFill="1" applyBorder="1" applyAlignment="1">
      <alignment horizontal="center"/>
    </xf>
    <xf numFmtId="0" fontId="99" fillId="36" borderId="53" xfId="0" applyFont="1" applyFill="1" applyBorder="1" applyAlignment="1">
      <alignment horizontal="center"/>
    </xf>
    <xf numFmtId="0" fontId="100" fillId="36" borderId="10" xfId="0" applyFont="1" applyFill="1" applyBorder="1" applyAlignment="1">
      <alignment horizontal="center" vertical="top" wrapText="1"/>
    </xf>
    <xf numFmtId="0" fontId="99" fillId="36" borderId="12" xfId="0" applyFont="1" applyFill="1" applyBorder="1" applyAlignment="1">
      <alignment horizontal="center" vertical="top" wrapText="1"/>
    </xf>
    <xf numFmtId="0" fontId="99" fillId="36" borderId="10" xfId="0" applyFont="1" applyFill="1" applyBorder="1" applyAlignment="1">
      <alignment horizontal="center" vertical="top" wrapText="1"/>
    </xf>
    <xf numFmtId="0" fontId="100" fillId="36" borderId="12" xfId="0" applyFont="1" applyFill="1" applyBorder="1" applyAlignment="1">
      <alignment horizontal="center" vertical="top" wrapText="1"/>
    </xf>
    <xf numFmtId="0" fontId="99" fillId="36" borderId="56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99" fillId="36" borderId="17" xfId="0" applyFont="1" applyFill="1" applyBorder="1" applyAlignment="1">
      <alignment horizontal="center" vertical="top" wrapText="1"/>
    </xf>
    <xf numFmtId="0" fontId="100" fillId="36" borderId="17" xfId="0" applyFont="1" applyFill="1" applyBorder="1" applyAlignment="1">
      <alignment horizontal="center" vertical="top" wrapText="1"/>
    </xf>
    <xf numFmtId="0" fontId="99" fillId="36" borderId="66" xfId="0" applyFont="1" applyFill="1" applyBorder="1" applyAlignment="1">
      <alignment horizontal="center"/>
    </xf>
    <xf numFmtId="0" fontId="100" fillId="36" borderId="16" xfId="0" applyFont="1" applyFill="1" applyBorder="1" applyAlignment="1">
      <alignment horizontal="center" vertical="top" wrapText="1"/>
    </xf>
    <xf numFmtId="0" fontId="100" fillId="36" borderId="67" xfId="0" applyFont="1" applyFill="1" applyBorder="1" applyAlignment="1">
      <alignment horizontal="center" vertical="top" wrapText="1"/>
    </xf>
    <xf numFmtId="0" fontId="100" fillId="36" borderId="68" xfId="0" applyFont="1" applyFill="1" applyBorder="1" applyAlignment="1">
      <alignment horizontal="center" vertical="top" wrapText="1"/>
    </xf>
    <xf numFmtId="0" fontId="100" fillId="36" borderId="69" xfId="0" applyFont="1" applyFill="1" applyBorder="1" applyAlignment="1">
      <alignment horizontal="center" vertical="top" wrapText="1"/>
    </xf>
    <xf numFmtId="0" fontId="15" fillId="4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9" fillId="40" borderId="12" xfId="0" applyFont="1" applyFill="1" applyBorder="1" applyAlignment="1">
      <alignment horizontal="center" vertical="top" wrapText="1"/>
    </xf>
    <xf numFmtId="0" fontId="99" fillId="40" borderId="10" xfId="0" applyFont="1" applyFill="1" applyBorder="1" applyAlignment="1">
      <alignment horizontal="center" vertical="top" wrapText="1"/>
    </xf>
    <xf numFmtId="0" fontId="99" fillId="40" borderId="17" xfId="0" applyFont="1" applyFill="1" applyBorder="1" applyAlignment="1">
      <alignment horizontal="center" vertical="top" wrapText="1"/>
    </xf>
    <xf numFmtId="0" fontId="127" fillId="40" borderId="51" xfId="0" applyFont="1" applyFill="1" applyBorder="1" applyAlignment="1">
      <alignment horizontal="center"/>
    </xf>
    <xf numFmtId="0" fontId="127" fillId="40" borderId="52" xfId="0" applyFont="1" applyFill="1" applyBorder="1" applyAlignment="1">
      <alignment horizontal="center"/>
    </xf>
    <xf numFmtId="0" fontId="127" fillId="40" borderId="53" xfId="0" applyFont="1" applyFill="1" applyBorder="1" applyAlignment="1">
      <alignment horizontal="center"/>
    </xf>
    <xf numFmtId="0" fontId="99" fillId="40" borderId="70" xfId="0" applyFont="1" applyFill="1" applyBorder="1" applyAlignment="1">
      <alignment horizontal="center" vertical="center" wrapText="1"/>
    </xf>
    <xf numFmtId="0" fontId="99" fillId="40" borderId="25" xfId="0" applyFont="1" applyFill="1" applyBorder="1" applyAlignment="1">
      <alignment horizontal="center" vertical="center" wrapText="1"/>
    </xf>
    <xf numFmtId="0" fontId="99" fillId="40" borderId="61" xfId="0" applyFont="1" applyFill="1" applyBorder="1" applyAlignment="1">
      <alignment horizontal="center" vertical="center" wrapText="1"/>
    </xf>
    <xf numFmtId="0" fontId="99" fillId="40" borderId="71" xfId="0" applyFont="1" applyFill="1" applyBorder="1" applyAlignment="1">
      <alignment horizontal="center" vertical="center" wrapText="1"/>
    </xf>
    <xf numFmtId="0" fontId="99" fillId="40" borderId="58" xfId="0" applyFont="1" applyFill="1" applyBorder="1" applyAlignment="1">
      <alignment horizontal="center" vertical="center" wrapText="1"/>
    </xf>
    <xf numFmtId="0" fontId="99" fillId="40" borderId="59" xfId="0" applyFont="1" applyFill="1" applyBorder="1" applyAlignment="1">
      <alignment horizontal="center" vertical="center" wrapText="1"/>
    </xf>
    <xf numFmtId="0" fontId="15" fillId="42" borderId="0" xfId="0" applyFont="1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44" borderId="23" xfId="0" applyFill="1" applyBorder="1" applyAlignment="1">
      <alignment horizontal="center" vertical="top" wrapText="1"/>
    </xf>
    <xf numFmtId="0" fontId="0" fillId="44" borderId="35" xfId="0" applyFill="1" applyBorder="1" applyAlignment="1">
      <alignment horizontal="center" vertical="top" wrapText="1"/>
    </xf>
    <xf numFmtId="0" fontId="0" fillId="44" borderId="22" xfId="0" applyFill="1" applyBorder="1" applyAlignment="1">
      <alignment horizontal="center" vertical="top" wrapText="1"/>
    </xf>
    <xf numFmtId="0" fontId="20" fillId="0" borderId="0" xfId="55" applyFont="1" applyBorder="1" applyAlignment="1">
      <alignment horizontal="left" wrapText="1"/>
      <protection/>
    </xf>
    <xf numFmtId="0" fontId="21" fillId="0" borderId="0" xfId="55" applyFont="1" applyAlignment="1">
      <alignment horizontal="left" vertical="center"/>
      <protection/>
    </xf>
    <xf numFmtId="0" fontId="125" fillId="0" borderId="40" xfId="0" applyFont="1" applyBorder="1" applyAlignment="1">
      <alignment horizontal="center" wrapText="1"/>
    </xf>
    <xf numFmtId="0" fontId="125" fillId="0" borderId="43" xfId="0" applyFont="1" applyBorder="1" applyAlignment="1">
      <alignment horizontal="center" wrapText="1"/>
    </xf>
    <xf numFmtId="0" fontId="125" fillId="0" borderId="21" xfId="0" applyFont="1" applyBorder="1" applyAlignment="1">
      <alignment horizontal="center" wrapText="1"/>
    </xf>
    <xf numFmtId="0" fontId="20" fillId="0" borderId="0" xfId="55" applyFont="1" applyAlignment="1">
      <alignment horizontal="left" vertical="center" wrapText="1"/>
      <protection/>
    </xf>
    <xf numFmtId="0" fontId="20" fillId="0" borderId="0" xfId="55" applyFont="1" applyAlignment="1">
      <alignment horizontal="left" vertical="center"/>
      <protection/>
    </xf>
    <xf numFmtId="0" fontId="0" fillId="40" borderId="40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center" vertical="top" wrapText="1"/>
    </xf>
    <xf numFmtId="0" fontId="0" fillId="40" borderId="72" xfId="0" applyFill="1" applyBorder="1" applyAlignment="1">
      <alignment horizontal="center" vertical="top" wrapText="1"/>
    </xf>
    <xf numFmtId="0" fontId="0" fillId="40" borderId="73" xfId="0" applyFill="1" applyBorder="1" applyAlignment="1">
      <alignment horizontal="center" vertical="top" wrapText="1"/>
    </xf>
    <xf numFmtId="0" fontId="0" fillId="40" borderId="38" xfId="0" applyFill="1" applyBorder="1" applyAlignment="1">
      <alignment horizontal="center" vertical="top" wrapText="1"/>
    </xf>
    <xf numFmtId="0" fontId="122" fillId="40" borderId="72" xfId="0" applyFont="1" applyFill="1" applyBorder="1" applyAlignment="1">
      <alignment horizontal="left" vertical="top" wrapText="1"/>
    </xf>
    <xf numFmtId="0" fontId="122" fillId="40" borderId="73" xfId="0" applyFont="1" applyFill="1" applyBorder="1" applyAlignment="1">
      <alignment horizontal="left" vertical="top" wrapText="1"/>
    </xf>
    <xf numFmtId="0" fontId="122" fillId="40" borderId="38" xfId="0" applyFont="1" applyFill="1" applyBorder="1" applyAlignment="1">
      <alignment horizontal="left" vertical="top" wrapText="1"/>
    </xf>
    <xf numFmtId="0" fontId="31" fillId="33" borderId="31" xfId="0" applyFont="1" applyFill="1" applyBorder="1" applyAlignment="1" applyProtection="1">
      <alignment horizontal="center" vertical="center" textRotation="90" wrapText="1"/>
      <protection locked="0"/>
    </xf>
    <xf numFmtId="0" fontId="31" fillId="33" borderId="74" xfId="0" applyFont="1" applyFill="1" applyBorder="1" applyAlignment="1" applyProtection="1">
      <alignment horizontal="center" vertical="center" textRotation="90" wrapText="1"/>
      <protection locked="0"/>
    </xf>
    <xf numFmtId="0" fontId="31" fillId="33" borderId="32" xfId="0" applyFont="1" applyFill="1" applyBorder="1" applyAlignment="1" applyProtection="1">
      <alignment horizontal="center" vertical="center" textRotation="90" wrapText="1"/>
      <protection locked="0"/>
    </xf>
    <xf numFmtId="0" fontId="31" fillId="33" borderId="29" xfId="0" applyFont="1" applyFill="1" applyBorder="1" applyAlignment="1" applyProtection="1">
      <alignment horizontal="center" vertical="center" wrapText="1"/>
      <protection locked="0"/>
    </xf>
    <xf numFmtId="0" fontId="31" fillId="33" borderId="29" xfId="0" applyFont="1" applyFill="1" applyBorder="1" applyAlignment="1" applyProtection="1">
      <alignment horizontal="center" vertical="center" textRotation="90" wrapText="1"/>
      <protection locked="0"/>
    </xf>
    <xf numFmtId="0" fontId="27" fillId="44" borderId="0" xfId="0" applyFont="1" applyFill="1" applyAlignment="1">
      <alignment horizontal="center" wrapText="1"/>
    </xf>
    <xf numFmtId="0" fontId="101" fillId="44" borderId="0" xfId="0" applyFont="1" applyFill="1" applyAlignment="1">
      <alignment horizontal="center"/>
    </xf>
    <xf numFmtId="49" fontId="119" fillId="4" borderId="10" xfId="53" applyNumberFormat="1" applyFont="1" applyFill="1" applyBorder="1" applyAlignment="1">
      <alignment horizontal="left" vertical="center" wrapText="1"/>
      <protection/>
    </xf>
    <xf numFmtId="49" fontId="118" fillId="7" borderId="10" xfId="53" applyNumberFormat="1" applyFont="1" applyFill="1" applyBorder="1" applyAlignment="1">
      <alignment horizontal="left" vertical="center" wrapText="1"/>
      <protection/>
    </xf>
    <xf numFmtId="49" fontId="118" fillId="51" borderId="10" xfId="53" applyNumberFormat="1" applyFont="1" applyFill="1" applyBorder="1" applyAlignment="1">
      <alignment horizontal="left" vertical="center" wrapText="1"/>
      <protection/>
    </xf>
    <xf numFmtId="49" fontId="119" fillId="51" borderId="10" xfId="53" applyNumberFormat="1" applyFont="1" applyFill="1" applyBorder="1" applyAlignment="1">
      <alignment horizontal="left" vertical="center" wrapText="1"/>
      <protection/>
    </xf>
    <xf numFmtId="49" fontId="119" fillId="7" borderId="10" xfId="53" applyNumberFormat="1" applyFont="1" applyFill="1" applyBorder="1" applyAlignment="1">
      <alignment horizontal="left" vertical="center" wrapText="1"/>
      <protection/>
    </xf>
    <xf numFmtId="0" fontId="21" fillId="0" borderId="29" xfId="53" applyFont="1" applyFill="1" applyBorder="1" applyAlignment="1">
      <alignment horizontal="left" vertical="center" textRotation="90" wrapText="1"/>
      <protection/>
    </xf>
    <xf numFmtId="0" fontId="21" fillId="0" borderId="29" xfId="53" applyFont="1" applyFill="1" applyBorder="1" applyAlignment="1">
      <alignment horizontal="center" vertical="center" textRotation="90" wrapText="1"/>
      <protection/>
    </xf>
    <xf numFmtId="0" fontId="21" fillId="0" borderId="29" xfId="0" applyFont="1" applyBorder="1" applyAlignment="1">
      <alignment horizontal="center" vertical="center" wrapText="1"/>
    </xf>
    <xf numFmtId="49" fontId="118" fillId="4" borderId="10" xfId="53" applyNumberFormat="1" applyFont="1" applyFill="1" applyBorder="1" applyAlignment="1">
      <alignment horizontal="left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>
      <alignment horizontal="center" vertical="top"/>
    </xf>
    <xf numFmtId="0" fontId="20" fillId="0" borderId="55" xfId="0" applyFont="1" applyBorder="1" applyAlignment="1">
      <alignment horizontal="left"/>
    </xf>
    <xf numFmtId="0" fontId="19" fillId="44" borderId="0" xfId="0" applyFont="1" applyFill="1" applyAlignment="1">
      <alignment horizontal="center" wrapText="1"/>
    </xf>
    <xf numFmtId="0" fontId="99" fillId="44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_Фактический баланс 2014 г." xfId="55"/>
    <cellStyle name="Обычный_Основные 2015 г." xfId="56"/>
    <cellStyle name="Обычный_Прил 6 Фактический баланс в сети Покупател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58;&#1054;\&#1055;&#1058;&#1054;\&#1044;&#1086;&#1082;&#1091;&#1084;&#1077;&#1085;&#1090;&#1099;%20&#1055;&#1058;&#1054;\&#1053;&#1072;&#1075;&#1088;&#1091;&#1079;&#1082;&#1080;\&#1053;&#1072;&#1075;&#1088;&#1091;&#1079;&#1082;&#1080;\&#1051;&#1077;&#1090;&#1086;\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ybak_IN\Downloads\Standarti_raskritia_informacii_v_sfere_elektroenergetiki%20(2)\12.%20&#1048;&#1085;&#1092;&#1086;&#1088;&#1084;&#1072;&#1094;&#1080;&#1103;%20&#1086;&#1073;%20&#1086;&#1073;&#1098;&#1105;&#1084;&#1077;%20&#1076;&#1083;&#1103;%20&#1058;&#1055;%20&#1090;&#1088;&#1072;&#1085;&#1089;&#1092;&#1086;&#1088;&#1084;&#1072;&#1090;&#1086;&#1088;&#1085;&#1086;&#1081;%20&#1084;&#1086;&#1097;&#1085;&#1086;&#1089;&#1090;&#1080;\2017\&#1053;&#1072;&#1075;&#1088;&#1091;&#1079;&#1082;&#1080;%20&#1087;&#1086;%20&#1058;&#1055;%20&#1056;&#1069;&#1057;%20&#1087;.%20&#1053;&#1080;&#1082;&#1077;&#1083;&#1100;%20&#1076;&#1077;&#1082;&#1072;&#1073;&#1088;&#1100;%20201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. гол.мин"/>
      <sheetName val="нагр. 0,4"/>
      <sheetName val="ПС 41"/>
      <sheetName val="ПС 368 Ф5,21,2,22"/>
      <sheetName val="Ф8,55,Ф60"/>
      <sheetName val="ф37,Ф30"/>
      <sheetName val="Ф15,Ф36"/>
      <sheetName val="Ф46,Ф29"/>
      <sheetName val="Ф10,11"/>
      <sheetName val="Лист1"/>
      <sheetName val="Лист2"/>
      <sheetName val="нагр. гол.мак."/>
    </sheetNames>
    <sheetDataSet>
      <sheetData sheetId="2">
        <row r="5">
          <cell r="B5" t="str">
            <v>КТП15</v>
          </cell>
        </row>
      </sheetData>
      <sheetData sheetId="3">
        <row r="15">
          <cell r="A15" t="str">
            <v>КТП-125</v>
          </cell>
        </row>
        <row r="17">
          <cell r="A17" t="str">
            <v>КТП-122</v>
          </cell>
        </row>
      </sheetData>
      <sheetData sheetId="4">
        <row r="5">
          <cell r="A5" t="str">
            <v>ТП-31</v>
          </cell>
        </row>
        <row r="9">
          <cell r="K9" t="str">
            <v>ТП-71 </v>
          </cell>
        </row>
      </sheetData>
      <sheetData sheetId="5">
        <row r="15">
          <cell r="B15" t="str">
            <v>ТП-33</v>
          </cell>
        </row>
        <row r="18">
          <cell r="L18" t="str">
            <v>ТП-60</v>
          </cell>
        </row>
        <row r="29">
          <cell r="B29" t="str">
            <v>ТП-39</v>
          </cell>
          <cell r="L29" t="str">
            <v>ТП-35</v>
          </cell>
        </row>
        <row r="36">
          <cell r="L36" t="str">
            <v>ТП-41</v>
          </cell>
        </row>
        <row r="39">
          <cell r="B39" t="str">
            <v>ТП-5</v>
          </cell>
        </row>
        <row r="55">
          <cell r="L55" t="str">
            <v>ТП-43</v>
          </cell>
        </row>
      </sheetData>
      <sheetData sheetId="6">
        <row r="11">
          <cell r="A11" t="str">
            <v>ТП-66</v>
          </cell>
          <cell r="K11" t="str">
            <v>ТП-59</v>
          </cell>
        </row>
        <row r="24">
          <cell r="A24" t="str">
            <v>ТП-61</v>
          </cell>
        </row>
        <row r="25">
          <cell r="K25" t="str">
            <v>ТП-62</v>
          </cell>
        </row>
        <row r="36">
          <cell r="K36" t="str">
            <v>ТП-92</v>
          </cell>
        </row>
        <row r="38">
          <cell r="A38" t="str">
            <v>ТП-49</v>
          </cell>
        </row>
        <row r="51">
          <cell r="K51" t="str">
            <v>ТП-53</v>
          </cell>
        </row>
        <row r="54">
          <cell r="A54" t="str">
            <v>ТП-57</v>
          </cell>
        </row>
        <row r="60">
          <cell r="K60" t="str">
            <v>ТП-46</v>
          </cell>
        </row>
        <row r="68">
          <cell r="K68" t="str">
            <v>ТП-40</v>
          </cell>
        </row>
        <row r="87">
          <cell r="K87" t="str">
            <v>ТП-63</v>
          </cell>
        </row>
        <row r="97">
          <cell r="K97" t="str">
            <v>ТП-48</v>
          </cell>
        </row>
        <row r="119">
          <cell r="K119" t="str">
            <v>ТП-52</v>
          </cell>
        </row>
        <row r="126">
          <cell r="K126" t="str">
            <v>КТП-19</v>
          </cell>
        </row>
      </sheetData>
      <sheetData sheetId="7">
        <row r="4">
          <cell r="A4" t="str">
            <v>ТП-65</v>
          </cell>
          <cell r="K4" t="str">
            <v>ТП-54</v>
          </cell>
        </row>
        <row r="15">
          <cell r="A15" t="str">
            <v>ТП-67</v>
          </cell>
        </row>
        <row r="18">
          <cell r="K18" t="str">
            <v>ТП-82</v>
          </cell>
        </row>
        <row r="29">
          <cell r="A29" t="str">
            <v>ТП-68</v>
          </cell>
        </row>
        <row r="41">
          <cell r="A41" t="str">
            <v>ТП-69</v>
          </cell>
        </row>
        <row r="45">
          <cell r="K45" t="str">
            <v>ТП-51</v>
          </cell>
        </row>
        <row r="55">
          <cell r="A55" t="str">
            <v>ТП-42</v>
          </cell>
        </row>
        <row r="58">
          <cell r="K58" t="str">
            <v>КТП-55</v>
          </cell>
        </row>
        <row r="65">
          <cell r="K65" t="str">
            <v>ТП-64</v>
          </cell>
        </row>
        <row r="71">
          <cell r="A71" t="str">
            <v>ТП-44</v>
          </cell>
        </row>
        <row r="72">
          <cell r="K72" t="str">
            <v>КТП-18</v>
          </cell>
        </row>
        <row r="78">
          <cell r="K78" t="str">
            <v>КТП-20</v>
          </cell>
        </row>
        <row r="84">
          <cell r="A84" t="str">
            <v>ТП-47</v>
          </cell>
        </row>
        <row r="89">
          <cell r="K89" t="str">
            <v>ТП-56</v>
          </cell>
        </row>
        <row r="100">
          <cell r="K100" t="str">
            <v>ТП-45</v>
          </cell>
        </row>
      </sheetData>
      <sheetData sheetId="8">
        <row r="4">
          <cell r="L4" t="str">
            <v>КТП-89</v>
          </cell>
        </row>
        <row r="11">
          <cell r="A11" t="str">
            <v>КТП- 90</v>
          </cell>
        </row>
        <row r="22">
          <cell r="A22" t="str">
            <v>КТП-88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-1 ТМ"/>
      <sheetName val="РП-2 ТМ"/>
      <sheetName val="РП-5"/>
      <sheetName val="КТП-1"/>
      <sheetName val="ТП-3"/>
      <sheetName val="ТП-4"/>
      <sheetName val="ТП-6"/>
      <sheetName val="ТП 7"/>
      <sheetName val="ТП-8"/>
      <sheetName val="КТП-10"/>
      <sheetName val="ТП-11 "/>
      <sheetName val="ТП-12"/>
      <sheetName val="ТП-13"/>
      <sheetName val="ТП-14"/>
      <sheetName val="ТП-15"/>
      <sheetName val="ТП-16"/>
      <sheetName val="ТП-18"/>
      <sheetName val="ТП-20"/>
      <sheetName val="ТП-21"/>
      <sheetName val="ТП-22"/>
      <sheetName val="ТП-24"/>
      <sheetName val="КТП-25"/>
      <sheetName val="ТП-27"/>
      <sheetName val="ТП-29 "/>
      <sheetName val="КТП-29а"/>
      <sheetName val="КТП-30"/>
      <sheetName val="КТП-31"/>
      <sheetName val="ТП-32"/>
      <sheetName val="ТП-34"/>
      <sheetName val="КТП-35"/>
      <sheetName val="ТП-37"/>
      <sheetName val="ТП-38"/>
      <sheetName val="ТП-43"/>
      <sheetName val="КТП-47"/>
      <sheetName val="ТП-49)"/>
      <sheetName val="ТП-52)"/>
      <sheetName val="ТП-54"/>
      <sheetName val="ТП-65"/>
      <sheetName val="ТП-66"/>
      <sheetName val="ТП-67"/>
      <sheetName val="ТП-68"/>
      <sheetName val="ТП-69"/>
      <sheetName val="ТП-72"/>
      <sheetName val="ТП-74"/>
      <sheetName val="ТП-75"/>
      <sheetName val="КТП-87"/>
      <sheetName val="КТП-88"/>
      <sheetName val="РП-1 ВН"/>
      <sheetName val="РП-2 ВН "/>
      <sheetName val="Ф-23,33"/>
    </sheetNames>
    <sheetDataSet>
      <sheetData sheetId="4">
        <row r="28">
          <cell r="C28">
            <v>0</v>
          </cell>
          <cell r="D28">
            <v>0</v>
          </cell>
          <cell r="E28">
            <v>0</v>
          </cell>
        </row>
      </sheetData>
      <sheetData sheetId="8">
        <row r="31">
          <cell r="C31">
            <v>0</v>
          </cell>
          <cell r="D31">
            <v>0</v>
          </cell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72"/>
  <sheetViews>
    <sheetView tabSelected="1" workbookViewId="0" topLeftCell="A1">
      <selection activeCell="P49" sqref="P49:R49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1.140625" style="0" customWidth="1"/>
    <col min="4" max="4" width="11.421875" style="0" customWidth="1"/>
    <col min="5" max="6" width="10.28125" style="0" customWidth="1"/>
    <col min="7" max="7" width="10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8.421875" style="0" customWidth="1"/>
  </cols>
  <sheetData>
    <row r="1" spans="9:10" ht="18" customHeight="1">
      <c r="I1" s="1" t="s">
        <v>0</v>
      </c>
      <c r="J1" s="1"/>
    </row>
    <row r="2" spans="9:10" ht="20.25" customHeight="1">
      <c r="I2" s="1" t="s">
        <v>1</v>
      </c>
      <c r="J2" s="1"/>
    </row>
    <row r="3" spans="9:10" ht="15.75" customHeight="1">
      <c r="I3" s="1" t="s">
        <v>2</v>
      </c>
      <c r="J3" s="1"/>
    </row>
    <row r="4" spans="9:10" ht="15" customHeight="1">
      <c r="I4" s="1" t="s">
        <v>3</v>
      </c>
      <c r="J4" s="1"/>
    </row>
    <row r="5" spans="9:10" ht="15.75" customHeight="1">
      <c r="I5" s="1" t="s">
        <v>4</v>
      </c>
      <c r="J5" s="1"/>
    </row>
    <row r="6" spans="9:10" ht="10.5" customHeight="1">
      <c r="I6" s="2"/>
      <c r="J6" s="2"/>
    </row>
    <row r="7" spans="1:10" ht="18.75" customHeight="1">
      <c r="A7" s="592" t="s">
        <v>1006</v>
      </c>
      <c r="B7" s="592"/>
      <c r="C7" s="592"/>
      <c r="D7" s="592"/>
      <c r="E7" s="592"/>
      <c r="F7" s="592"/>
      <c r="G7" s="592"/>
      <c r="H7" s="592"/>
      <c r="I7" s="592"/>
      <c r="J7" s="103"/>
    </row>
    <row r="8" spans="1:10" ht="28.5" customHeight="1">
      <c r="A8" s="593" t="s">
        <v>1007</v>
      </c>
      <c r="B8" s="593"/>
      <c r="C8" s="593"/>
      <c r="D8" s="593"/>
      <c r="E8" s="593"/>
      <c r="F8" s="593"/>
      <c r="G8" s="593"/>
      <c r="H8" s="593"/>
      <c r="I8" s="593"/>
      <c r="J8" s="106"/>
    </row>
    <row r="9" spans="1:10" ht="12" customHeight="1">
      <c r="A9" s="594" t="s">
        <v>134</v>
      </c>
      <c r="B9" s="594"/>
      <c r="C9" s="594"/>
      <c r="D9" s="594"/>
      <c r="E9" s="594"/>
      <c r="F9" s="594"/>
      <c r="G9" s="594"/>
      <c r="H9" s="594"/>
      <c r="I9" s="594"/>
      <c r="J9" s="104"/>
    </row>
    <row r="10" spans="9:10" ht="10.5" customHeight="1">
      <c r="I10" s="2"/>
      <c r="J10" s="2"/>
    </row>
    <row r="11" spans="1:10" ht="17.25" customHeight="1">
      <c r="A11" s="595" t="s">
        <v>76</v>
      </c>
      <c r="B11" s="595"/>
      <c r="C11" s="595"/>
      <c r="D11" s="595"/>
      <c r="E11" s="595"/>
      <c r="F11" s="595"/>
      <c r="G11" s="595"/>
      <c r="H11" s="595"/>
      <c r="I11" s="595"/>
      <c r="J11" s="105"/>
    </row>
    <row r="12" spans="9:10" ht="14.25" customHeight="1">
      <c r="I12" s="2"/>
      <c r="J12" s="2"/>
    </row>
    <row r="13" spans="1:10" ht="62.25" customHeight="1" thickBot="1">
      <c r="A13" s="600" t="s">
        <v>5</v>
      </c>
      <c r="B13" s="600"/>
      <c r="C13" s="600"/>
      <c r="D13" s="600"/>
      <c r="E13" s="600"/>
      <c r="F13" s="600"/>
      <c r="G13" s="600"/>
      <c r="H13" s="600"/>
      <c r="I13" s="600"/>
      <c r="J13" s="102"/>
    </row>
    <row r="14" spans="1:25" ht="15.75" customHeight="1">
      <c r="A14" s="598" t="s">
        <v>136</v>
      </c>
      <c r="B14" s="603" t="s">
        <v>137</v>
      </c>
      <c r="C14" s="605" t="s">
        <v>223</v>
      </c>
      <c r="D14" s="606"/>
      <c r="E14" s="606"/>
      <c r="F14" s="606"/>
      <c r="G14" s="606"/>
      <c r="H14" s="606"/>
      <c r="I14" s="607"/>
      <c r="J14" s="623" t="s">
        <v>224</v>
      </c>
      <c r="K14" s="624"/>
      <c r="L14" s="624"/>
      <c r="M14" s="624"/>
      <c r="N14" s="624"/>
      <c r="O14" s="624"/>
      <c r="P14" s="624"/>
      <c r="Q14" s="624"/>
      <c r="R14" s="625"/>
      <c r="S14" s="573" t="s">
        <v>225</v>
      </c>
      <c r="T14" s="574"/>
      <c r="U14" s="574"/>
      <c r="V14" s="574"/>
      <c r="W14" s="574"/>
      <c r="X14" s="574"/>
      <c r="Y14" s="575"/>
    </row>
    <row r="15" spans="1:25" s="23" customFormat="1" ht="41.25" customHeight="1">
      <c r="A15" s="599"/>
      <c r="B15" s="604"/>
      <c r="C15" s="576" t="s">
        <v>138</v>
      </c>
      <c r="D15" s="577"/>
      <c r="E15" s="577"/>
      <c r="F15" s="577"/>
      <c r="G15" s="577" t="s">
        <v>139</v>
      </c>
      <c r="H15" s="577"/>
      <c r="I15" s="578"/>
      <c r="J15" s="626" t="s">
        <v>138</v>
      </c>
      <c r="K15" s="627"/>
      <c r="L15" s="627"/>
      <c r="M15" s="627"/>
      <c r="N15" s="628"/>
      <c r="O15" s="577" t="s">
        <v>139</v>
      </c>
      <c r="P15" s="577"/>
      <c r="Q15" s="579"/>
      <c r="R15" s="579"/>
      <c r="S15" s="576" t="s">
        <v>138</v>
      </c>
      <c r="T15" s="577"/>
      <c r="U15" s="577"/>
      <c r="V15" s="577"/>
      <c r="W15" s="577" t="s">
        <v>139</v>
      </c>
      <c r="X15" s="577"/>
      <c r="Y15" s="578"/>
    </row>
    <row r="16" spans="1:25" s="23" customFormat="1" ht="14.25" customHeight="1">
      <c r="A16" s="599"/>
      <c r="B16" s="604"/>
      <c r="C16" s="114" t="s">
        <v>20</v>
      </c>
      <c r="D16" s="115" t="s">
        <v>140</v>
      </c>
      <c r="E16" s="115" t="s">
        <v>141</v>
      </c>
      <c r="F16" s="115" t="s">
        <v>23</v>
      </c>
      <c r="G16" s="115">
        <v>1</v>
      </c>
      <c r="H16" s="115">
        <v>2</v>
      </c>
      <c r="I16" s="116">
        <v>3</v>
      </c>
      <c r="J16" s="629" t="s">
        <v>20</v>
      </c>
      <c r="K16" s="630"/>
      <c r="L16" s="115" t="s">
        <v>140</v>
      </c>
      <c r="M16" s="115" t="s">
        <v>141</v>
      </c>
      <c r="N16" s="115" t="s">
        <v>23</v>
      </c>
      <c r="O16" s="115">
        <v>1</v>
      </c>
      <c r="P16" s="604">
        <v>2</v>
      </c>
      <c r="Q16" s="630"/>
      <c r="R16" s="117">
        <v>3</v>
      </c>
      <c r="S16" s="114" t="s">
        <v>20</v>
      </c>
      <c r="T16" s="115" t="s">
        <v>140</v>
      </c>
      <c r="U16" s="115" t="s">
        <v>141</v>
      </c>
      <c r="V16" s="115" t="s">
        <v>23</v>
      </c>
      <c r="W16" s="115">
        <v>1</v>
      </c>
      <c r="X16" s="115">
        <v>2</v>
      </c>
      <c r="Y16" s="116">
        <v>3</v>
      </c>
    </row>
    <row r="17" spans="1:25" s="24" customFormat="1" ht="14.25" customHeight="1">
      <c r="A17" s="596">
        <v>1</v>
      </c>
      <c r="B17" s="619" t="s">
        <v>142</v>
      </c>
      <c r="C17" s="566" t="s">
        <v>503</v>
      </c>
      <c r="D17" s="567"/>
      <c r="E17" s="567"/>
      <c r="F17" s="567"/>
      <c r="G17" s="567"/>
      <c r="H17" s="567"/>
      <c r="I17" s="568"/>
      <c r="J17" s="580" t="s">
        <v>503</v>
      </c>
      <c r="K17" s="581"/>
      <c r="L17" s="581"/>
      <c r="M17" s="581"/>
      <c r="N17" s="581"/>
      <c r="O17" s="581"/>
      <c r="P17" s="581"/>
      <c r="Q17" s="581"/>
      <c r="R17" s="582"/>
      <c r="S17" s="566" t="s">
        <v>503</v>
      </c>
      <c r="T17" s="567"/>
      <c r="U17" s="567"/>
      <c r="V17" s="567"/>
      <c r="W17" s="567"/>
      <c r="X17" s="567"/>
      <c r="Y17" s="568"/>
    </row>
    <row r="18" spans="1:26" s="17" customFormat="1" ht="21" customHeight="1">
      <c r="A18" s="596"/>
      <c r="B18" s="619"/>
      <c r="C18" s="257">
        <v>1</v>
      </c>
      <c r="D18" s="121"/>
      <c r="E18" s="121">
        <v>86</v>
      </c>
      <c r="F18" s="121">
        <v>269</v>
      </c>
      <c r="G18" s="121">
        <v>6</v>
      </c>
      <c r="H18" s="121">
        <v>25</v>
      </c>
      <c r="I18" s="258">
        <v>343</v>
      </c>
      <c r="J18" s="631">
        <v>1</v>
      </c>
      <c r="K18" s="632"/>
      <c r="L18" s="119">
        <v>5</v>
      </c>
      <c r="M18" s="119">
        <v>99</v>
      </c>
      <c r="N18" s="119">
        <v>380</v>
      </c>
      <c r="O18" s="119">
        <v>4</v>
      </c>
      <c r="P18" s="619">
        <v>23</v>
      </c>
      <c r="Q18" s="632"/>
      <c r="R18" s="392">
        <v>380</v>
      </c>
      <c r="S18" s="118">
        <f>C18+J18</f>
        <v>2</v>
      </c>
      <c r="T18" s="119">
        <f>D18+L18</f>
        <v>5</v>
      </c>
      <c r="U18" s="119">
        <f>E18+M18</f>
        <v>185</v>
      </c>
      <c r="V18" s="119">
        <f>F18+N18</f>
        <v>649</v>
      </c>
      <c r="W18" s="119">
        <f>G18+O18</f>
        <v>10</v>
      </c>
      <c r="X18" s="119">
        <f>H18+P18</f>
        <v>48</v>
      </c>
      <c r="Y18" s="120">
        <f>I18+R18</f>
        <v>723</v>
      </c>
      <c r="Z18" s="268">
        <f>V18+V25+U18+S18+T18</f>
        <v>1556</v>
      </c>
    </row>
    <row r="19" spans="1:25" s="24" customFormat="1" ht="18.75" customHeight="1">
      <c r="A19" s="596"/>
      <c r="B19" s="619"/>
      <c r="C19" s="566" t="s">
        <v>464</v>
      </c>
      <c r="D19" s="567"/>
      <c r="E19" s="567"/>
      <c r="F19" s="567"/>
      <c r="G19" s="567"/>
      <c r="H19" s="567"/>
      <c r="I19" s="568"/>
      <c r="J19" s="580" t="s">
        <v>464</v>
      </c>
      <c r="K19" s="581"/>
      <c r="L19" s="581"/>
      <c r="M19" s="581"/>
      <c r="N19" s="581"/>
      <c r="O19" s="581"/>
      <c r="P19" s="581"/>
      <c r="Q19" s="581"/>
      <c r="R19" s="582"/>
      <c r="S19" s="566" t="s">
        <v>464</v>
      </c>
      <c r="T19" s="567"/>
      <c r="U19" s="567"/>
      <c r="V19" s="567"/>
      <c r="W19" s="567"/>
      <c r="X19" s="567"/>
      <c r="Y19" s="568"/>
    </row>
    <row r="20" spans="1:26" s="17" customFormat="1" ht="24" customHeight="1">
      <c r="A20" s="596"/>
      <c r="B20" s="619"/>
      <c r="C20" s="257">
        <v>1</v>
      </c>
      <c r="D20" s="121"/>
      <c r="E20" s="121">
        <v>83</v>
      </c>
      <c r="F20" s="121">
        <v>273</v>
      </c>
      <c r="G20" s="121">
        <v>6</v>
      </c>
      <c r="H20" s="121">
        <v>24</v>
      </c>
      <c r="I20" s="258">
        <v>340</v>
      </c>
      <c r="J20" s="631">
        <v>1</v>
      </c>
      <c r="K20" s="632"/>
      <c r="L20" s="119">
        <v>3</v>
      </c>
      <c r="M20" s="119">
        <v>98</v>
      </c>
      <c r="N20" s="119">
        <v>377</v>
      </c>
      <c r="O20" s="121">
        <v>4</v>
      </c>
      <c r="P20" s="638">
        <v>23</v>
      </c>
      <c r="Q20" s="639"/>
      <c r="R20" s="301">
        <v>376</v>
      </c>
      <c r="S20" s="118">
        <f>C20+J20</f>
        <v>2</v>
      </c>
      <c r="T20" s="119">
        <f>D20+L20</f>
        <v>3</v>
      </c>
      <c r="U20" s="119">
        <f>E20+M20</f>
        <v>181</v>
      </c>
      <c r="V20" s="119">
        <f>F20+N20</f>
        <v>650</v>
      </c>
      <c r="W20" s="119">
        <f>G20+O20</f>
        <v>10</v>
      </c>
      <c r="X20" s="119">
        <f>H20+P20</f>
        <v>47</v>
      </c>
      <c r="Y20" s="120">
        <f>I20+R20</f>
        <v>716</v>
      </c>
      <c r="Z20" s="268">
        <f>V20+V27+U20+S20+T20</f>
        <v>1553</v>
      </c>
    </row>
    <row r="21" spans="1:25" s="17" customFormat="1" ht="32.25" customHeight="1">
      <c r="A21" s="596" t="s">
        <v>135</v>
      </c>
      <c r="B21" s="597"/>
      <c r="C21" s="118">
        <f aca="true" t="shared" si="0" ref="C21:J21">C18-C20</f>
        <v>0</v>
      </c>
      <c r="D21" s="119">
        <f t="shared" si="0"/>
        <v>0</v>
      </c>
      <c r="E21" s="119">
        <f t="shared" si="0"/>
        <v>3</v>
      </c>
      <c r="F21" s="119">
        <f t="shared" si="0"/>
        <v>-4</v>
      </c>
      <c r="G21" s="119">
        <f t="shared" si="0"/>
        <v>0</v>
      </c>
      <c r="H21" s="119">
        <f t="shared" si="0"/>
        <v>1</v>
      </c>
      <c r="I21" s="120">
        <f t="shared" si="0"/>
        <v>3</v>
      </c>
      <c r="J21" s="631">
        <f t="shared" si="0"/>
        <v>0</v>
      </c>
      <c r="K21" s="632"/>
      <c r="L21" s="119">
        <f>L18-L20</f>
        <v>2</v>
      </c>
      <c r="M21" s="119">
        <f>M18-M20</f>
        <v>1</v>
      </c>
      <c r="N21" s="119">
        <f>N18-N20</f>
        <v>3</v>
      </c>
      <c r="O21" s="119">
        <f>O18-O20</f>
        <v>0</v>
      </c>
      <c r="P21" s="619">
        <f>P18-P20</f>
        <v>0</v>
      </c>
      <c r="Q21" s="632"/>
      <c r="R21" s="122">
        <f>R18-R20</f>
        <v>4</v>
      </c>
      <c r="S21" s="118">
        <f>S18-S20</f>
        <v>0</v>
      </c>
      <c r="T21" s="119">
        <f aca="true" t="shared" si="1" ref="T21:Y21">T18-T20</f>
        <v>2</v>
      </c>
      <c r="U21" s="119">
        <f t="shared" si="1"/>
        <v>4</v>
      </c>
      <c r="V21" s="119">
        <f t="shared" si="1"/>
        <v>-1</v>
      </c>
      <c r="W21" s="119">
        <f t="shared" si="1"/>
        <v>0</v>
      </c>
      <c r="X21" s="119">
        <f t="shared" si="1"/>
        <v>1</v>
      </c>
      <c r="Y21" s="120">
        <f t="shared" si="1"/>
        <v>7</v>
      </c>
    </row>
    <row r="22" spans="1:25" s="23" customFormat="1" ht="15" customHeight="1">
      <c r="A22" s="599" t="s">
        <v>136</v>
      </c>
      <c r="B22" s="604" t="s">
        <v>137</v>
      </c>
      <c r="C22" s="576" t="s">
        <v>138</v>
      </c>
      <c r="D22" s="577"/>
      <c r="E22" s="577"/>
      <c r="F22" s="577"/>
      <c r="G22" s="577" t="s">
        <v>139</v>
      </c>
      <c r="H22" s="577"/>
      <c r="I22" s="578"/>
      <c r="J22" s="626" t="s">
        <v>138</v>
      </c>
      <c r="K22" s="627"/>
      <c r="L22" s="627"/>
      <c r="M22" s="627"/>
      <c r="N22" s="628"/>
      <c r="O22" s="577" t="s">
        <v>139</v>
      </c>
      <c r="P22" s="577"/>
      <c r="Q22" s="579"/>
      <c r="R22" s="579"/>
      <c r="S22" s="576" t="s">
        <v>138</v>
      </c>
      <c r="T22" s="577"/>
      <c r="U22" s="577"/>
      <c r="V22" s="577"/>
      <c r="W22" s="577" t="s">
        <v>139</v>
      </c>
      <c r="X22" s="577"/>
      <c r="Y22" s="578"/>
    </row>
    <row r="23" spans="1:25" s="23" customFormat="1" ht="14.25" customHeight="1">
      <c r="A23" s="599"/>
      <c r="B23" s="604"/>
      <c r="C23" s="114" t="s">
        <v>20</v>
      </c>
      <c r="D23" s="115" t="s">
        <v>140</v>
      </c>
      <c r="E23" s="115" t="s">
        <v>141</v>
      </c>
      <c r="F23" s="115" t="s">
        <v>23</v>
      </c>
      <c r="G23" s="115">
        <v>1</v>
      </c>
      <c r="H23" s="115">
        <v>2</v>
      </c>
      <c r="I23" s="116">
        <v>3</v>
      </c>
      <c r="J23" s="629" t="s">
        <v>20</v>
      </c>
      <c r="K23" s="630"/>
      <c r="L23" s="115" t="s">
        <v>140</v>
      </c>
      <c r="M23" s="115" t="s">
        <v>141</v>
      </c>
      <c r="N23" s="115" t="s">
        <v>23</v>
      </c>
      <c r="O23" s="115">
        <v>1</v>
      </c>
      <c r="P23" s="604">
        <v>2</v>
      </c>
      <c r="Q23" s="630"/>
      <c r="R23" s="117">
        <v>3</v>
      </c>
      <c r="S23" s="114" t="s">
        <v>20</v>
      </c>
      <c r="T23" s="115" t="s">
        <v>140</v>
      </c>
      <c r="U23" s="115" t="s">
        <v>141</v>
      </c>
      <c r="V23" s="115" t="s">
        <v>23</v>
      </c>
      <c r="W23" s="115">
        <v>1</v>
      </c>
      <c r="X23" s="115">
        <v>2</v>
      </c>
      <c r="Y23" s="116">
        <v>3</v>
      </c>
    </row>
    <row r="24" spans="1:25" s="24" customFormat="1" ht="18.75" customHeight="1">
      <c r="A24" s="613" t="s">
        <v>143</v>
      </c>
      <c r="B24" s="616" t="s">
        <v>144</v>
      </c>
      <c r="C24" s="566" t="s">
        <v>503</v>
      </c>
      <c r="D24" s="567"/>
      <c r="E24" s="567"/>
      <c r="F24" s="567"/>
      <c r="G24" s="567"/>
      <c r="H24" s="567"/>
      <c r="I24" s="568"/>
      <c r="J24" s="580" t="s">
        <v>503</v>
      </c>
      <c r="K24" s="581"/>
      <c r="L24" s="581"/>
      <c r="M24" s="581"/>
      <c r="N24" s="581"/>
      <c r="O24" s="581"/>
      <c r="P24" s="581"/>
      <c r="Q24" s="581"/>
      <c r="R24" s="582"/>
      <c r="S24" s="566" t="s">
        <v>503</v>
      </c>
      <c r="T24" s="567"/>
      <c r="U24" s="567"/>
      <c r="V24" s="567"/>
      <c r="W24" s="567"/>
      <c r="X24" s="567"/>
      <c r="Y24" s="568"/>
    </row>
    <row r="25" spans="1:25" s="17" customFormat="1" ht="20.25" customHeight="1">
      <c r="A25" s="614"/>
      <c r="B25" s="617"/>
      <c r="C25" s="118"/>
      <c r="D25" s="119"/>
      <c r="E25" s="119"/>
      <c r="F25" s="121">
        <v>341</v>
      </c>
      <c r="G25" s="121"/>
      <c r="H25" s="121">
        <v>11</v>
      </c>
      <c r="I25" s="258">
        <v>330</v>
      </c>
      <c r="J25" s="631"/>
      <c r="K25" s="632"/>
      <c r="L25" s="119"/>
      <c r="M25" s="119">
        <v>4</v>
      </c>
      <c r="N25" s="119">
        <v>374</v>
      </c>
      <c r="O25" s="121"/>
      <c r="P25" s="638"/>
      <c r="Q25" s="639"/>
      <c r="R25" s="388">
        <v>378</v>
      </c>
      <c r="S25" s="118">
        <f aca="true" t="shared" si="2" ref="S25:X25">C25+K25</f>
        <v>0</v>
      </c>
      <c r="T25" s="119">
        <f t="shared" si="2"/>
        <v>0</v>
      </c>
      <c r="U25" s="119">
        <f t="shared" si="2"/>
        <v>4</v>
      </c>
      <c r="V25" s="119">
        <f t="shared" si="2"/>
        <v>715</v>
      </c>
      <c r="W25" s="119">
        <f t="shared" si="2"/>
        <v>0</v>
      </c>
      <c r="X25" s="119">
        <f t="shared" si="2"/>
        <v>11</v>
      </c>
      <c r="Y25" s="120">
        <f>I25+R25</f>
        <v>708</v>
      </c>
    </row>
    <row r="26" spans="1:25" s="24" customFormat="1" ht="18" customHeight="1">
      <c r="A26" s="614"/>
      <c r="B26" s="617"/>
      <c r="C26" s="566" t="s">
        <v>464</v>
      </c>
      <c r="D26" s="567"/>
      <c r="E26" s="567"/>
      <c r="F26" s="567"/>
      <c r="G26" s="567"/>
      <c r="H26" s="567"/>
      <c r="I26" s="568"/>
      <c r="J26" s="580" t="s">
        <v>464</v>
      </c>
      <c r="K26" s="581"/>
      <c r="L26" s="581"/>
      <c r="M26" s="581"/>
      <c r="N26" s="581"/>
      <c r="O26" s="581"/>
      <c r="P26" s="581"/>
      <c r="Q26" s="581"/>
      <c r="R26" s="582"/>
      <c r="S26" s="566" t="s">
        <v>464</v>
      </c>
      <c r="T26" s="567"/>
      <c r="U26" s="567"/>
      <c r="V26" s="567"/>
      <c r="W26" s="567"/>
      <c r="X26" s="567"/>
      <c r="Y26" s="568"/>
    </row>
    <row r="27" spans="1:25" s="17" customFormat="1" ht="18" customHeight="1">
      <c r="A27" s="615"/>
      <c r="B27" s="618"/>
      <c r="C27" s="118"/>
      <c r="D27" s="119"/>
      <c r="E27" s="119"/>
      <c r="F27" s="121">
        <v>340</v>
      </c>
      <c r="G27" s="121"/>
      <c r="H27" s="121">
        <v>10</v>
      </c>
      <c r="I27" s="258">
        <v>330</v>
      </c>
      <c r="J27" s="631"/>
      <c r="K27" s="632"/>
      <c r="L27" s="119"/>
      <c r="M27" s="119"/>
      <c r="N27" s="119">
        <v>377</v>
      </c>
      <c r="O27" s="121"/>
      <c r="P27" s="638"/>
      <c r="Q27" s="639"/>
      <c r="R27" s="301">
        <v>377</v>
      </c>
      <c r="S27" s="118">
        <f aca="true" t="shared" si="3" ref="S27:X27">C27+K27</f>
        <v>0</v>
      </c>
      <c r="T27" s="119">
        <f t="shared" si="3"/>
        <v>0</v>
      </c>
      <c r="U27" s="119">
        <f t="shared" si="3"/>
        <v>0</v>
      </c>
      <c r="V27" s="119">
        <f t="shared" si="3"/>
        <v>717</v>
      </c>
      <c r="W27" s="119">
        <f t="shared" si="3"/>
        <v>0</v>
      </c>
      <c r="X27" s="119">
        <f t="shared" si="3"/>
        <v>10</v>
      </c>
      <c r="Y27" s="120">
        <f>I27+R27</f>
        <v>707</v>
      </c>
    </row>
    <row r="28" spans="1:25" s="17" customFormat="1" ht="30.75" customHeight="1" thickBot="1">
      <c r="A28" s="611" t="s">
        <v>135</v>
      </c>
      <c r="B28" s="612"/>
      <c r="C28" s="123">
        <f aca="true" t="shared" si="4" ref="C28:I28">C25-C27</f>
        <v>0</v>
      </c>
      <c r="D28" s="124">
        <f t="shared" si="4"/>
        <v>0</v>
      </c>
      <c r="E28" s="124">
        <f t="shared" si="4"/>
        <v>0</v>
      </c>
      <c r="F28" s="124">
        <f t="shared" si="4"/>
        <v>1</v>
      </c>
      <c r="G28" s="124">
        <f t="shared" si="4"/>
        <v>0</v>
      </c>
      <c r="H28" s="124">
        <f t="shared" si="4"/>
        <v>1</v>
      </c>
      <c r="I28" s="125">
        <f t="shared" si="4"/>
        <v>0</v>
      </c>
      <c r="J28" s="633">
        <f>K25-K27</f>
        <v>0</v>
      </c>
      <c r="K28" s="634"/>
      <c r="L28" s="124">
        <f>L25-L27</f>
        <v>0</v>
      </c>
      <c r="M28" s="124">
        <f>M25-M27</f>
        <v>4</v>
      </c>
      <c r="N28" s="124">
        <f>N25-N27</f>
        <v>-3</v>
      </c>
      <c r="O28" s="124">
        <f>O25-O27</f>
        <v>0</v>
      </c>
      <c r="P28" s="640">
        <f>P25-P27</f>
        <v>0</v>
      </c>
      <c r="Q28" s="634"/>
      <c r="R28" s="126">
        <f aca="true" t="shared" si="5" ref="R28:Y28">R25-R27</f>
        <v>1</v>
      </c>
      <c r="S28" s="123">
        <f t="shared" si="5"/>
        <v>0</v>
      </c>
      <c r="T28" s="124">
        <f t="shared" si="5"/>
        <v>0</v>
      </c>
      <c r="U28" s="124">
        <f t="shared" si="5"/>
        <v>4</v>
      </c>
      <c r="V28" s="124">
        <f t="shared" si="5"/>
        <v>-2</v>
      </c>
      <c r="W28" s="124">
        <f t="shared" si="5"/>
        <v>0</v>
      </c>
      <c r="X28" s="124">
        <f t="shared" si="5"/>
        <v>1</v>
      </c>
      <c r="Y28" s="125">
        <f t="shared" si="5"/>
        <v>1</v>
      </c>
    </row>
    <row r="29" spans="1:25" ht="9" customHeight="1">
      <c r="A29" s="127"/>
      <c r="B29" s="127"/>
      <c r="C29" s="127"/>
      <c r="D29" s="127"/>
      <c r="E29" s="127"/>
      <c r="F29" s="127"/>
      <c r="G29" s="127"/>
      <c r="H29" s="127"/>
      <c r="I29" s="128"/>
      <c r="J29" s="128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ht="93.75" customHeight="1">
      <c r="A30" s="560" t="s">
        <v>6</v>
      </c>
      <c r="B30" s="560"/>
      <c r="C30" s="560"/>
      <c r="D30" s="560"/>
      <c r="E30" s="560"/>
      <c r="F30" s="560"/>
      <c r="G30" s="560"/>
      <c r="H30" s="560"/>
      <c r="I30" s="560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1:25" ht="15" customHeight="1">
      <c r="A31" s="547" t="s">
        <v>121</v>
      </c>
      <c r="B31" s="547"/>
      <c r="C31" s="547"/>
      <c r="D31" s="547"/>
      <c r="E31" s="547"/>
      <c r="F31" s="547" t="s">
        <v>223</v>
      </c>
      <c r="G31" s="547"/>
      <c r="H31" s="547"/>
      <c r="I31" s="547"/>
      <c r="J31" s="537" t="s">
        <v>224</v>
      </c>
      <c r="K31" s="538"/>
      <c r="L31" s="538"/>
      <c r="M31" s="538"/>
      <c r="N31" s="539"/>
      <c r="O31" s="570" t="s">
        <v>226</v>
      </c>
      <c r="P31" s="570"/>
      <c r="Q31" s="570"/>
      <c r="R31" s="570"/>
      <c r="S31" s="570"/>
      <c r="T31" s="127"/>
      <c r="U31" s="127"/>
      <c r="V31" s="127"/>
      <c r="W31" s="127"/>
      <c r="X31" s="127"/>
      <c r="Y31" s="127"/>
    </row>
    <row r="32" spans="1:25" s="17" customFormat="1" ht="27" customHeight="1">
      <c r="A32" s="547"/>
      <c r="B32" s="547"/>
      <c r="C32" s="547"/>
      <c r="D32" s="547"/>
      <c r="E32" s="547"/>
      <c r="F32" s="569" t="s">
        <v>195</v>
      </c>
      <c r="G32" s="569"/>
      <c r="H32" s="569" t="s">
        <v>135</v>
      </c>
      <c r="I32" s="569"/>
      <c r="J32" s="635" t="s">
        <v>195</v>
      </c>
      <c r="K32" s="636"/>
      <c r="L32" s="637"/>
      <c r="M32" s="569" t="s">
        <v>135</v>
      </c>
      <c r="N32" s="569"/>
      <c r="O32" s="635" t="s">
        <v>195</v>
      </c>
      <c r="P32" s="636"/>
      <c r="Q32" s="637"/>
      <c r="R32" s="569" t="s">
        <v>135</v>
      </c>
      <c r="S32" s="569"/>
      <c r="T32" s="131"/>
      <c r="U32" s="131"/>
      <c r="V32" s="131"/>
      <c r="W32" s="131"/>
      <c r="X32" s="131"/>
      <c r="Y32" s="131"/>
    </row>
    <row r="33" spans="1:25" s="17" customFormat="1" ht="27" customHeight="1">
      <c r="A33" s="547"/>
      <c r="B33" s="547"/>
      <c r="C33" s="547"/>
      <c r="D33" s="547"/>
      <c r="E33" s="547"/>
      <c r="F33" s="132">
        <v>2016</v>
      </c>
      <c r="G33" s="132">
        <v>2017</v>
      </c>
      <c r="H33" s="569"/>
      <c r="I33" s="569"/>
      <c r="J33" s="571">
        <v>2016</v>
      </c>
      <c r="K33" s="572"/>
      <c r="L33" s="133">
        <v>2017</v>
      </c>
      <c r="M33" s="569"/>
      <c r="N33" s="569"/>
      <c r="O33" s="132">
        <v>2016</v>
      </c>
      <c r="P33" s="571">
        <v>2017</v>
      </c>
      <c r="Q33" s="572"/>
      <c r="R33" s="569"/>
      <c r="S33" s="569"/>
      <c r="T33" s="131"/>
      <c r="U33" s="131"/>
      <c r="V33" s="131"/>
      <c r="W33" s="131"/>
      <c r="X33" s="131"/>
      <c r="Y33" s="131"/>
    </row>
    <row r="34" spans="1:25" s="17" customFormat="1" ht="27.75" customHeight="1">
      <c r="A34" s="590" t="s">
        <v>196</v>
      </c>
      <c r="B34" s="590"/>
      <c r="C34" s="590"/>
      <c r="D34" s="590"/>
      <c r="E34" s="590"/>
      <c r="F34" s="259">
        <v>1552</v>
      </c>
      <c r="G34" s="134">
        <v>1599</v>
      </c>
      <c r="H34" s="556">
        <f aca="true" t="shared" si="6" ref="H34:H40">G34-F34</f>
        <v>47</v>
      </c>
      <c r="I34" s="557"/>
      <c r="J34" s="554">
        <v>2266</v>
      </c>
      <c r="K34" s="555"/>
      <c r="L34" s="387">
        <v>2264</v>
      </c>
      <c r="M34" s="556">
        <f aca="true" t="shared" si="7" ref="M34:M40">L34-J34</f>
        <v>-2</v>
      </c>
      <c r="N34" s="557"/>
      <c r="O34" s="134">
        <f aca="true" t="shared" si="8" ref="O34:O39">F34+J34</f>
        <v>3818</v>
      </c>
      <c r="P34" s="556">
        <f aca="true" t="shared" si="9" ref="P34:P40">G34+L34</f>
        <v>3863</v>
      </c>
      <c r="Q34" s="557"/>
      <c r="R34" s="556">
        <f aca="true" t="shared" si="10" ref="R34:R40">P34-O34</f>
        <v>45</v>
      </c>
      <c r="S34" s="557"/>
      <c r="T34" s="131"/>
      <c r="U34" s="131"/>
      <c r="V34" s="131"/>
      <c r="W34" s="131"/>
      <c r="X34" s="131"/>
      <c r="Y34" s="131"/>
    </row>
    <row r="35" spans="1:25" s="17" customFormat="1" ht="27.75" customHeight="1">
      <c r="A35" s="590" t="s">
        <v>197</v>
      </c>
      <c r="B35" s="590"/>
      <c r="C35" s="590"/>
      <c r="D35" s="590"/>
      <c r="E35" s="590"/>
      <c r="F35" s="259">
        <v>1552</v>
      </c>
      <c r="G35" s="134">
        <f>G36+G37+G38</f>
        <v>1599</v>
      </c>
      <c r="H35" s="556">
        <f t="shared" si="6"/>
        <v>47</v>
      </c>
      <c r="I35" s="557"/>
      <c r="J35" s="554">
        <v>1807</v>
      </c>
      <c r="K35" s="555"/>
      <c r="L35" s="387">
        <v>1808</v>
      </c>
      <c r="M35" s="556">
        <f t="shared" si="7"/>
        <v>1</v>
      </c>
      <c r="N35" s="557"/>
      <c r="O35" s="134">
        <f t="shared" si="8"/>
        <v>3359</v>
      </c>
      <c r="P35" s="556">
        <f t="shared" si="9"/>
        <v>3407</v>
      </c>
      <c r="Q35" s="557"/>
      <c r="R35" s="556">
        <f t="shared" si="10"/>
        <v>48</v>
      </c>
      <c r="S35" s="557"/>
      <c r="T35" s="131"/>
      <c r="U35" s="131"/>
      <c r="V35" s="131"/>
      <c r="W35" s="131"/>
      <c r="X35" s="131"/>
      <c r="Y35" s="131"/>
    </row>
    <row r="36" spans="1:25" s="17" customFormat="1" ht="15" customHeight="1">
      <c r="A36" s="590" t="s">
        <v>198</v>
      </c>
      <c r="B36" s="590"/>
      <c r="C36" s="590"/>
      <c r="D36" s="590"/>
      <c r="E36" s="590"/>
      <c r="F36" s="259">
        <v>352</v>
      </c>
      <c r="G36" s="134">
        <v>340</v>
      </c>
      <c r="H36" s="556">
        <f t="shared" si="6"/>
        <v>-12</v>
      </c>
      <c r="I36" s="557"/>
      <c r="J36" s="554">
        <v>383</v>
      </c>
      <c r="K36" s="555"/>
      <c r="L36" s="387">
        <v>378</v>
      </c>
      <c r="M36" s="556">
        <f t="shared" si="7"/>
        <v>-5</v>
      </c>
      <c r="N36" s="557"/>
      <c r="O36" s="134">
        <f t="shared" si="8"/>
        <v>735</v>
      </c>
      <c r="P36" s="556">
        <f t="shared" si="9"/>
        <v>718</v>
      </c>
      <c r="Q36" s="557"/>
      <c r="R36" s="556">
        <f t="shared" si="10"/>
        <v>-17</v>
      </c>
      <c r="S36" s="557"/>
      <c r="T36" s="131"/>
      <c r="U36" s="131"/>
      <c r="V36" s="131"/>
      <c r="W36" s="131"/>
      <c r="X36" s="131"/>
      <c r="Y36" s="131"/>
    </row>
    <row r="37" spans="1:25" s="17" customFormat="1" ht="15" customHeight="1">
      <c r="A37" s="590" t="s">
        <v>217</v>
      </c>
      <c r="B37" s="590"/>
      <c r="C37" s="590"/>
      <c r="D37" s="590"/>
      <c r="E37" s="590"/>
      <c r="F37" s="259">
        <v>845</v>
      </c>
      <c r="G37" s="134">
        <v>902</v>
      </c>
      <c r="H37" s="556">
        <f t="shared" si="6"/>
        <v>57</v>
      </c>
      <c r="I37" s="557"/>
      <c r="J37" s="554">
        <v>1028</v>
      </c>
      <c r="K37" s="555"/>
      <c r="L37" s="387">
        <v>1034</v>
      </c>
      <c r="M37" s="556">
        <f t="shared" si="7"/>
        <v>6</v>
      </c>
      <c r="N37" s="557"/>
      <c r="O37" s="134">
        <f t="shared" si="8"/>
        <v>1873</v>
      </c>
      <c r="P37" s="556">
        <f t="shared" si="9"/>
        <v>1936</v>
      </c>
      <c r="Q37" s="557"/>
      <c r="R37" s="556">
        <f t="shared" si="10"/>
        <v>63</v>
      </c>
      <c r="S37" s="557"/>
      <c r="T37" s="131"/>
      <c r="U37" s="131"/>
      <c r="V37" s="131"/>
      <c r="W37" s="131"/>
      <c r="X37" s="131"/>
      <c r="Y37" s="131"/>
    </row>
    <row r="38" spans="1:25" s="17" customFormat="1" ht="14.25" customHeight="1">
      <c r="A38" s="608" t="s">
        <v>218</v>
      </c>
      <c r="B38" s="609"/>
      <c r="C38" s="609"/>
      <c r="D38" s="609"/>
      <c r="E38" s="610"/>
      <c r="F38" s="259">
        <v>355</v>
      </c>
      <c r="G38" s="134">
        <v>357</v>
      </c>
      <c r="H38" s="556">
        <f t="shared" si="6"/>
        <v>2</v>
      </c>
      <c r="I38" s="557"/>
      <c r="J38" s="554">
        <v>396</v>
      </c>
      <c r="K38" s="555"/>
      <c r="L38" s="387">
        <v>396</v>
      </c>
      <c r="M38" s="556">
        <f t="shared" si="7"/>
        <v>0</v>
      </c>
      <c r="N38" s="557"/>
      <c r="O38" s="134">
        <f t="shared" si="8"/>
        <v>751</v>
      </c>
      <c r="P38" s="556">
        <f t="shared" si="9"/>
        <v>753</v>
      </c>
      <c r="Q38" s="557"/>
      <c r="R38" s="556">
        <f t="shared" si="10"/>
        <v>2</v>
      </c>
      <c r="S38" s="557"/>
      <c r="T38" s="131"/>
      <c r="U38" s="131"/>
      <c r="V38" s="131"/>
      <c r="W38" s="131"/>
      <c r="X38" s="131"/>
      <c r="Y38" s="131"/>
    </row>
    <row r="39" spans="1:25" s="17" customFormat="1" ht="14.25" customHeight="1">
      <c r="A39" s="590" t="s">
        <v>502</v>
      </c>
      <c r="B39" s="590"/>
      <c r="C39" s="590"/>
      <c r="D39" s="590"/>
      <c r="E39" s="590"/>
      <c r="F39" s="259">
        <v>0</v>
      </c>
      <c r="G39" s="134">
        <v>0</v>
      </c>
      <c r="H39" s="556">
        <f t="shared" si="6"/>
        <v>0</v>
      </c>
      <c r="I39" s="557"/>
      <c r="J39" s="554">
        <v>155</v>
      </c>
      <c r="K39" s="555"/>
      <c r="L39" s="387">
        <v>155</v>
      </c>
      <c r="M39" s="556">
        <f t="shared" si="7"/>
        <v>0</v>
      </c>
      <c r="N39" s="557"/>
      <c r="O39" s="134">
        <f t="shared" si="8"/>
        <v>155</v>
      </c>
      <c r="P39" s="556">
        <f t="shared" si="9"/>
        <v>155</v>
      </c>
      <c r="Q39" s="557"/>
      <c r="R39" s="556">
        <f t="shared" si="10"/>
        <v>0</v>
      </c>
      <c r="S39" s="557"/>
      <c r="T39" s="131"/>
      <c r="U39" s="131"/>
      <c r="V39" s="131"/>
      <c r="W39" s="131"/>
      <c r="X39" s="131"/>
      <c r="Y39" s="131"/>
    </row>
    <row r="40" spans="1:25" s="17" customFormat="1" ht="15.75" customHeight="1">
      <c r="A40" s="590" t="s">
        <v>199</v>
      </c>
      <c r="B40" s="590"/>
      <c r="C40" s="590"/>
      <c r="D40" s="590"/>
      <c r="E40" s="590"/>
      <c r="F40" s="259">
        <v>0</v>
      </c>
      <c r="G40" s="134">
        <v>0</v>
      </c>
      <c r="H40" s="556">
        <f t="shared" si="6"/>
        <v>0</v>
      </c>
      <c r="I40" s="557"/>
      <c r="J40" s="556">
        <v>0</v>
      </c>
      <c r="K40" s="557"/>
      <c r="L40" s="387">
        <v>0</v>
      </c>
      <c r="M40" s="556">
        <f t="shared" si="7"/>
        <v>0</v>
      </c>
      <c r="N40" s="557"/>
      <c r="O40" s="134">
        <f>F40+K40</f>
        <v>0</v>
      </c>
      <c r="P40" s="556">
        <f t="shared" si="9"/>
        <v>0</v>
      </c>
      <c r="Q40" s="557"/>
      <c r="R40" s="556">
        <f t="shared" si="10"/>
        <v>0</v>
      </c>
      <c r="S40" s="557"/>
      <c r="T40" s="131"/>
      <c r="U40" s="131"/>
      <c r="V40" s="131"/>
      <c r="W40" s="131"/>
      <c r="X40" s="131"/>
      <c r="Y40" s="131"/>
    </row>
    <row r="41" spans="1:25" s="17" customFormat="1" ht="20.25" customHeight="1">
      <c r="A41" s="135"/>
      <c r="B41" s="135"/>
      <c r="C41" s="135"/>
      <c r="D41" s="135"/>
      <c r="E41" s="135"/>
      <c r="F41" s="136"/>
      <c r="G41" s="137"/>
      <c r="H41" s="137"/>
      <c r="I41" s="137"/>
      <c r="J41" s="137"/>
      <c r="K41" s="131"/>
      <c r="L41" s="41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5" ht="64.5" customHeight="1">
      <c r="A42" s="601" t="s">
        <v>463</v>
      </c>
      <c r="B42" s="601"/>
      <c r="C42" s="601"/>
      <c r="D42" s="601"/>
      <c r="E42" s="601"/>
      <c r="F42" s="601"/>
      <c r="G42" s="601"/>
      <c r="H42" s="601"/>
      <c r="I42" s="601"/>
      <c r="J42" s="138"/>
      <c r="K42" s="139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9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9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21.75" customHeight="1">
      <c r="A44" s="602" t="s">
        <v>504</v>
      </c>
      <c r="B44" s="602"/>
      <c r="C44" s="602"/>
      <c r="D44" s="602"/>
      <c r="E44" s="602"/>
      <c r="F44" s="602"/>
      <c r="G44" s="602"/>
      <c r="H44" s="602"/>
      <c r="I44" s="602"/>
      <c r="J44" s="140"/>
      <c r="K44" s="139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 ht="19.5" customHeight="1">
      <c r="A45" s="547" t="s">
        <v>145</v>
      </c>
      <c r="B45" s="547"/>
      <c r="C45" s="565" t="s">
        <v>223</v>
      </c>
      <c r="D45" s="565"/>
      <c r="E45" s="565"/>
      <c r="F45" s="565"/>
      <c r="G45" s="565" t="s">
        <v>224</v>
      </c>
      <c r="H45" s="565"/>
      <c r="I45" s="565"/>
      <c r="J45" s="565"/>
      <c r="K45" s="565"/>
      <c r="L45" s="565" t="s">
        <v>226</v>
      </c>
      <c r="M45" s="565"/>
      <c r="N45" s="565"/>
      <c r="O45" s="565"/>
      <c r="P45" s="565"/>
      <c r="Q45" s="565"/>
      <c r="R45" s="565"/>
      <c r="S45" s="127"/>
      <c r="T45" s="127"/>
      <c r="U45" s="127"/>
      <c r="V45" s="127"/>
      <c r="W45" s="127"/>
      <c r="X45" s="127"/>
      <c r="Y45" s="127"/>
    </row>
    <row r="46" spans="1:25" ht="21" customHeight="1">
      <c r="A46" s="547"/>
      <c r="B46" s="547"/>
      <c r="C46" s="547" t="s">
        <v>141</v>
      </c>
      <c r="D46" s="547"/>
      <c r="E46" s="547" t="s">
        <v>23</v>
      </c>
      <c r="F46" s="547"/>
      <c r="G46" s="547" t="s">
        <v>141</v>
      </c>
      <c r="H46" s="547"/>
      <c r="I46" s="547" t="s">
        <v>23</v>
      </c>
      <c r="J46" s="547"/>
      <c r="K46" s="547"/>
      <c r="L46" s="547" t="s">
        <v>141</v>
      </c>
      <c r="M46" s="547"/>
      <c r="N46" s="547" t="s">
        <v>23</v>
      </c>
      <c r="O46" s="547"/>
      <c r="P46" s="547" t="s">
        <v>227</v>
      </c>
      <c r="Q46" s="547"/>
      <c r="R46" s="547"/>
      <c r="S46" s="127"/>
      <c r="T46" s="127"/>
      <c r="U46" s="127"/>
      <c r="V46" s="127"/>
      <c r="W46" s="127"/>
      <c r="X46" s="127"/>
      <c r="Y46" s="127"/>
    </row>
    <row r="47" spans="1:25" ht="18.75" customHeight="1">
      <c r="A47" s="543" t="s">
        <v>146</v>
      </c>
      <c r="B47" s="543"/>
      <c r="C47" s="591">
        <v>66.283</v>
      </c>
      <c r="D47" s="591"/>
      <c r="E47" s="591">
        <v>17.07</v>
      </c>
      <c r="F47" s="591"/>
      <c r="G47" s="536">
        <v>17.22</v>
      </c>
      <c r="H47" s="536"/>
      <c r="I47" s="536">
        <v>8.69</v>
      </c>
      <c r="J47" s="536"/>
      <c r="K47" s="536"/>
      <c r="L47" s="536">
        <f>C47+G47</f>
        <v>83.503</v>
      </c>
      <c r="M47" s="536"/>
      <c r="N47" s="536">
        <f>E47+I47</f>
        <v>25.759999999999998</v>
      </c>
      <c r="O47" s="536"/>
      <c r="P47" s="536">
        <f>L47+N47</f>
        <v>109.263</v>
      </c>
      <c r="Q47" s="536"/>
      <c r="R47" s="536"/>
      <c r="S47" s="127"/>
      <c r="T47" s="127"/>
      <c r="U47" s="127"/>
      <c r="V47" s="127"/>
      <c r="W47" s="127"/>
      <c r="X47" s="127"/>
      <c r="Y47" s="127"/>
    </row>
    <row r="48" spans="1:25" ht="18.75" customHeight="1">
      <c r="A48" s="543" t="s">
        <v>147</v>
      </c>
      <c r="B48" s="543"/>
      <c r="C48" s="591">
        <v>79.497</v>
      </c>
      <c r="D48" s="591"/>
      <c r="E48" s="591">
        <f>69.065+0.1</f>
        <v>69.16499999999999</v>
      </c>
      <c r="F48" s="591"/>
      <c r="G48" s="536">
        <f>64.957+0.74</f>
        <v>65.69699999999999</v>
      </c>
      <c r="H48" s="536"/>
      <c r="I48" s="536">
        <f>66.12+0.3</f>
        <v>66.42</v>
      </c>
      <c r="J48" s="536"/>
      <c r="K48" s="536"/>
      <c r="L48" s="536">
        <f>C48+G48</f>
        <v>145.194</v>
      </c>
      <c r="M48" s="536"/>
      <c r="N48" s="536">
        <f>E48+I48</f>
        <v>135.58499999999998</v>
      </c>
      <c r="O48" s="536"/>
      <c r="P48" s="536">
        <f>L48+N48</f>
        <v>280.779</v>
      </c>
      <c r="Q48" s="536"/>
      <c r="R48" s="536"/>
      <c r="S48" s="127"/>
      <c r="T48" s="127"/>
      <c r="U48" s="127"/>
      <c r="V48" s="127"/>
      <c r="W48" s="127"/>
      <c r="X48" s="127"/>
      <c r="Y48" s="127"/>
    </row>
    <row r="49" spans="1:25" ht="18.75" customHeight="1">
      <c r="A49" s="544" t="s">
        <v>229</v>
      </c>
      <c r="B49" s="544"/>
      <c r="C49" s="551">
        <f>C47+C48</f>
        <v>145.78</v>
      </c>
      <c r="D49" s="551"/>
      <c r="E49" s="551">
        <f>E47+E48</f>
        <v>86.23499999999999</v>
      </c>
      <c r="F49" s="551"/>
      <c r="G49" s="558">
        <f>G47+G48</f>
        <v>82.91699999999999</v>
      </c>
      <c r="H49" s="558"/>
      <c r="I49" s="558">
        <f>I47+I48</f>
        <v>75.11</v>
      </c>
      <c r="J49" s="558"/>
      <c r="K49" s="558"/>
      <c r="L49" s="536">
        <f>L47+L48</f>
        <v>228.697</v>
      </c>
      <c r="M49" s="536"/>
      <c r="N49" s="536">
        <f>N47+N48</f>
        <v>161.34499999999997</v>
      </c>
      <c r="O49" s="536"/>
      <c r="P49" s="536">
        <f>P47+P48</f>
        <v>390.04200000000003</v>
      </c>
      <c r="Q49" s="536"/>
      <c r="R49" s="536"/>
      <c r="S49" s="127"/>
      <c r="T49" s="127"/>
      <c r="U49" s="127"/>
      <c r="V49" s="127"/>
      <c r="W49" s="127"/>
      <c r="X49" s="127"/>
      <c r="Y49" s="127"/>
    </row>
    <row r="50" spans="1:25" ht="13.5" customHeight="1">
      <c r="A50" s="129"/>
      <c r="B50" s="129"/>
      <c r="C50" s="129"/>
      <c r="D50" s="129"/>
      <c r="E50" s="283"/>
      <c r="F50" s="283"/>
      <c r="G50" s="283"/>
      <c r="H50" s="129"/>
      <c r="I50" s="129"/>
      <c r="J50" s="129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 ht="13.5" customHeight="1">
      <c r="A51" s="561" t="s">
        <v>228</v>
      </c>
      <c r="B51" s="561"/>
      <c r="C51" s="561"/>
      <c r="D51" s="561"/>
      <c r="E51" s="561"/>
      <c r="F51" s="561"/>
      <c r="G51" s="561"/>
      <c r="H51" s="561"/>
      <c r="I51" s="561"/>
      <c r="J51" s="141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25" ht="53.25" customHeight="1">
      <c r="A52" s="537" t="s">
        <v>148</v>
      </c>
      <c r="B52" s="538"/>
      <c r="C52" s="538"/>
      <c r="D52" s="539"/>
      <c r="E52" s="547" t="s">
        <v>230</v>
      </c>
      <c r="F52" s="547"/>
      <c r="G52" s="547" t="s">
        <v>231</v>
      </c>
      <c r="H52" s="547"/>
      <c r="I52" s="547" t="s">
        <v>232</v>
      </c>
      <c r="J52" s="547"/>
      <c r="K52" s="54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 ht="33.75" customHeight="1">
      <c r="A53" s="540" t="s">
        <v>248</v>
      </c>
      <c r="B53" s="541"/>
      <c r="C53" s="541"/>
      <c r="D53" s="542"/>
      <c r="E53" s="543">
        <v>74</v>
      </c>
      <c r="F53" s="543"/>
      <c r="G53" s="543">
        <f>79</f>
        <v>79</v>
      </c>
      <c r="H53" s="543"/>
      <c r="I53" s="543">
        <f>E53+G53</f>
        <v>153</v>
      </c>
      <c r="J53" s="543"/>
      <c r="K53" s="543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 ht="30.75" customHeight="1">
      <c r="A54" s="540" t="s">
        <v>249</v>
      </c>
      <c r="B54" s="541"/>
      <c r="C54" s="541"/>
      <c r="D54" s="542"/>
      <c r="E54" s="543"/>
      <c r="F54" s="543"/>
      <c r="G54" s="543">
        <v>1</v>
      </c>
      <c r="H54" s="543"/>
      <c r="I54" s="543">
        <f>E54+G54</f>
        <v>1</v>
      </c>
      <c r="J54" s="543"/>
      <c r="K54" s="543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 ht="23.25" customHeight="1">
      <c r="A55" s="562" t="s">
        <v>229</v>
      </c>
      <c r="B55" s="563"/>
      <c r="C55" s="563"/>
      <c r="D55" s="564"/>
      <c r="E55" s="548">
        <f>E53+E54</f>
        <v>74</v>
      </c>
      <c r="F55" s="549"/>
      <c r="G55" s="548">
        <f>G53+G54</f>
        <v>80</v>
      </c>
      <c r="H55" s="549"/>
      <c r="I55" s="548">
        <f>I53+I54</f>
        <v>154</v>
      </c>
      <c r="J55" s="550"/>
      <c r="K55" s="549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 ht="9.7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 ht="57" customHeight="1">
      <c r="A57" s="560" t="s">
        <v>7</v>
      </c>
      <c r="B57" s="560"/>
      <c r="C57" s="560"/>
      <c r="D57" s="560"/>
      <c r="E57" s="560"/>
      <c r="F57" s="560"/>
      <c r="G57" s="560"/>
      <c r="H57" s="560"/>
      <c r="I57" s="560"/>
      <c r="J57" s="129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 ht="16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 ht="21.75" customHeight="1">
      <c r="A59" s="559" t="s">
        <v>193</v>
      </c>
      <c r="B59" s="559"/>
      <c r="C59" s="559"/>
      <c r="D59" s="547" t="s">
        <v>223</v>
      </c>
      <c r="E59" s="547"/>
      <c r="F59" s="547"/>
      <c r="G59" s="547"/>
      <c r="H59" s="547"/>
      <c r="I59" s="547"/>
      <c r="J59" s="537" t="s">
        <v>224</v>
      </c>
      <c r="K59" s="538"/>
      <c r="L59" s="538"/>
      <c r="M59" s="538"/>
      <c r="N59" s="538"/>
      <c r="O59" s="538"/>
      <c r="P59" s="539"/>
      <c r="Q59" s="537" t="s">
        <v>233</v>
      </c>
      <c r="R59" s="538"/>
      <c r="S59" s="538"/>
      <c r="T59" s="538"/>
      <c r="U59" s="538"/>
      <c r="V59" s="538"/>
      <c r="W59" s="539"/>
      <c r="X59" s="127"/>
      <c r="Y59" s="127"/>
    </row>
    <row r="60" spans="1:25" ht="72" customHeight="1">
      <c r="A60" s="559"/>
      <c r="B60" s="559"/>
      <c r="C60" s="559"/>
      <c r="D60" s="559" t="s">
        <v>202</v>
      </c>
      <c r="E60" s="559"/>
      <c r="F60" s="559" t="s">
        <v>203</v>
      </c>
      <c r="G60" s="559"/>
      <c r="H60" s="559" t="s">
        <v>194</v>
      </c>
      <c r="I60" s="559"/>
      <c r="J60" s="620" t="s">
        <v>202</v>
      </c>
      <c r="K60" s="621"/>
      <c r="L60" s="622"/>
      <c r="M60" s="559" t="s">
        <v>203</v>
      </c>
      <c r="N60" s="559"/>
      <c r="O60" s="559" t="s">
        <v>194</v>
      </c>
      <c r="P60" s="559"/>
      <c r="Q60" s="620" t="s">
        <v>202</v>
      </c>
      <c r="R60" s="621"/>
      <c r="S60" s="622"/>
      <c r="T60" s="559" t="s">
        <v>203</v>
      </c>
      <c r="U60" s="559"/>
      <c r="V60" s="559" t="s">
        <v>194</v>
      </c>
      <c r="W60" s="559"/>
      <c r="X60" s="127"/>
      <c r="Y60" s="127"/>
    </row>
    <row r="61" spans="1:25" ht="33" customHeight="1">
      <c r="A61" s="559"/>
      <c r="B61" s="559"/>
      <c r="C61" s="559"/>
      <c r="D61" s="303" t="s">
        <v>200</v>
      </c>
      <c r="E61" s="303" t="s">
        <v>201</v>
      </c>
      <c r="F61" s="303">
        <v>2016</v>
      </c>
      <c r="G61" s="303">
        <v>2017</v>
      </c>
      <c r="H61" s="303">
        <v>2016</v>
      </c>
      <c r="I61" s="303">
        <v>2017</v>
      </c>
      <c r="J61" s="143" t="s">
        <v>246</v>
      </c>
      <c r="K61" s="143" t="s">
        <v>200</v>
      </c>
      <c r="L61" s="143" t="s">
        <v>201</v>
      </c>
      <c r="M61" s="143">
        <v>2016</v>
      </c>
      <c r="N61" s="143">
        <v>2017</v>
      </c>
      <c r="O61" s="143">
        <v>2016</v>
      </c>
      <c r="P61" s="143">
        <v>2017</v>
      </c>
      <c r="Q61" s="143" t="s">
        <v>246</v>
      </c>
      <c r="R61" s="143" t="s">
        <v>200</v>
      </c>
      <c r="S61" s="143" t="s">
        <v>201</v>
      </c>
      <c r="T61" s="143">
        <v>2016</v>
      </c>
      <c r="U61" s="143">
        <v>2017</v>
      </c>
      <c r="V61" s="143">
        <v>2016</v>
      </c>
      <c r="W61" s="143">
        <v>2017</v>
      </c>
      <c r="X61" s="127"/>
      <c r="Y61" s="127"/>
    </row>
    <row r="62" spans="1:25" ht="16.5" customHeight="1">
      <c r="A62" s="553" t="s">
        <v>204</v>
      </c>
      <c r="B62" s="553"/>
      <c r="C62" s="553"/>
      <c r="D62" s="376">
        <v>25</v>
      </c>
      <c r="E62" s="376"/>
      <c r="F62" s="145">
        <v>34</v>
      </c>
      <c r="G62" s="377">
        <f>D62+E62</f>
        <v>25</v>
      </c>
      <c r="H62" s="146" t="s">
        <v>214</v>
      </c>
      <c r="I62" s="378" t="s">
        <v>214</v>
      </c>
      <c r="J62" s="146"/>
      <c r="K62" s="302">
        <v>103</v>
      </c>
      <c r="L62" s="302"/>
      <c r="M62" s="147">
        <v>116</v>
      </c>
      <c r="N62" s="147">
        <v>103</v>
      </c>
      <c r="O62" s="148" t="s">
        <v>240</v>
      </c>
      <c r="P62" s="148" t="s">
        <v>240</v>
      </c>
      <c r="Q62" s="385"/>
      <c r="R62" s="376">
        <f>D62+K62</f>
        <v>128</v>
      </c>
      <c r="S62" s="376">
        <f aca="true" t="shared" si="11" ref="S62:T66">E62+L62</f>
        <v>0</v>
      </c>
      <c r="T62" s="302">
        <f t="shared" si="11"/>
        <v>150</v>
      </c>
      <c r="U62" s="376">
        <f aca="true" t="shared" si="12" ref="U62:U67">G62+N62</f>
        <v>128</v>
      </c>
      <c r="V62" s="146" t="s">
        <v>214</v>
      </c>
      <c r="W62" s="378" t="s">
        <v>214</v>
      </c>
      <c r="X62" s="127"/>
      <c r="Y62" s="127"/>
    </row>
    <row r="63" spans="1:25" ht="16.5" customHeight="1">
      <c r="A63" s="552" t="s">
        <v>205</v>
      </c>
      <c r="B63" s="552"/>
      <c r="C63" s="552"/>
      <c r="D63" s="376"/>
      <c r="E63" s="376">
        <v>327</v>
      </c>
      <c r="F63" s="145">
        <v>327</v>
      </c>
      <c r="G63" s="377">
        <f aca="true" t="shared" si="13" ref="G63:G70">D63+E63</f>
        <v>327</v>
      </c>
      <c r="H63" s="146" t="s">
        <v>214</v>
      </c>
      <c r="I63" s="378" t="s">
        <v>214</v>
      </c>
      <c r="J63" s="146"/>
      <c r="K63" s="302"/>
      <c r="L63" s="302">
        <v>161</v>
      </c>
      <c r="M63" s="147">
        <v>161</v>
      </c>
      <c r="N63" s="147">
        <v>161</v>
      </c>
      <c r="O63" s="148" t="s">
        <v>211</v>
      </c>
      <c r="P63" s="148" t="s">
        <v>211</v>
      </c>
      <c r="Q63" s="385"/>
      <c r="R63" s="376">
        <v>0</v>
      </c>
      <c r="S63" s="376">
        <f t="shared" si="11"/>
        <v>488</v>
      </c>
      <c r="T63" s="302">
        <f t="shared" si="11"/>
        <v>488</v>
      </c>
      <c r="U63" s="376">
        <f t="shared" si="12"/>
        <v>488</v>
      </c>
      <c r="V63" s="146" t="s">
        <v>214</v>
      </c>
      <c r="W63" s="378" t="s">
        <v>214</v>
      </c>
      <c r="X63" s="127"/>
      <c r="Y63" s="127"/>
    </row>
    <row r="64" spans="1:25" ht="16.5" customHeight="1">
      <c r="A64" s="552" t="s">
        <v>206</v>
      </c>
      <c r="B64" s="552"/>
      <c r="C64" s="552"/>
      <c r="D64" s="376">
        <v>38</v>
      </c>
      <c r="E64" s="376"/>
      <c r="F64" s="145">
        <v>32</v>
      </c>
      <c r="G64" s="377">
        <f t="shared" si="13"/>
        <v>38</v>
      </c>
      <c r="H64" s="146" t="s">
        <v>210</v>
      </c>
      <c r="I64" s="378" t="s">
        <v>210</v>
      </c>
      <c r="J64" s="146" t="s">
        <v>143</v>
      </c>
      <c r="K64" s="302">
        <v>12</v>
      </c>
      <c r="L64" s="302"/>
      <c r="M64" s="147">
        <v>3</v>
      </c>
      <c r="N64" s="147">
        <v>12</v>
      </c>
      <c r="O64" s="148" t="s">
        <v>465</v>
      </c>
      <c r="P64" s="148" t="s">
        <v>465</v>
      </c>
      <c r="Q64" s="385" t="s">
        <v>143</v>
      </c>
      <c r="R64" s="376">
        <f>D64+K64</f>
        <v>50</v>
      </c>
      <c r="S64" s="376">
        <f t="shared" si="11"/>
        <v>0</v>
      </c>
      <c r="T64" s="302">
        <f t="shared" si="11"/>
        <v>35</v>
      </c>
      <c r="U64" s="376">
        <f t="shared" si="12"/>
        <v>50</v>
      </c>
      <c r="V64" s="146" t="s">
        <v>210</v>
      </c>
      <c r="W64" s="378" t="s">
        <v>210</v>
      </c>
      <c r="X64" s="127"/>
      <c r="Y64" s="127"/>
    </row>
    <row r="65" spans="1:25" ht="16.5" customHeight="1">
      <c r="A65" s="552" t="s">
        <v>207</v>
      </c>
      <c r="B65" s="552"/>
      <c r="C65" s="552"/>
      <c r="D65" s="376">
        <v>186</v>
      </c>
      <c r="E65" s="376"/>
      <c r="F65" s="145">
        <v>186</v>
      </c>
      <c r="G65" s="377">
        <f t="shared" si="13"/>
        <v>186</v>
      </c>
      <c r="H65" s="146" t="s">
        <v>214</v>
      </c>
      <c r="I65" s="378" t="s">
        <v>214</v>
      </c>
      <c r="J65" s="146"/>
      <c r="K65" s="302">
        <v>198</v>
      </c>
      <c r="L65" s="302"/>
      <c r="M65" s="147">
        <v>198</v>
      </c>
      <c r="N65" s="147">
        <v>198</v>
      </c>
      <c r="O65" s="148" t="s">
        <v>240</v>
      </c>
      <c r="P65" s="148" t="s">
        <v>240</v>
      </c>
      <c r="Q65" s="385"/>
      <c r="R65" s="376">
        <f>D65+K65</f>
        <v>384</v>
      </c>
      <c r="S65" s="376">
        <f t="shared" si="11"/>
        <v>0</v>
      </c>
      <c r="T65" s="302">
        <f t="shared" si="11"/>
        <v>384</v>
      </c>
      <c r="U65" s="376">
        <f t="shared" si="12"/>
        <v>384</v>
      </c>
      <c r="V65" s="146" t="s">
        <v>214</v>
      </c>
      <c r="W65" s="378" t="s">
        <v>214</v>
      </c>
      <c r="X65" s="127"/>
      <c r="Y65" s="127"/>
    </row>
    <row r="66" spans="1:25" ht="16.5" customHeight="1">
      <c r="A66" s="552" t="s">
        <v>208</v>
      </c>
      <c r="B66" s="552"/>
      <c r="C66" s="552"/>
      <c r="D66" s="376">
        <v>295</v>
      </c>
      <c r="E66" s="376">
        <v>824</v>
      </c>
      <c r="F66" s="145">
        <v>1136</v>
      </c>
      <c r="G66" s="377">
        <f t="shared" si="13"/>
        <v>1119</v>
      </c>
      <c r="H66" s="146" t="s">
        <v>214</v>
      </c>
      <c r="I66" s="378" t="s">
        <v>214</v>
      </c>
      <c r="J66" s="146"/>
      <c r="K66" s="302">
        <v>380</v>
      </c>
      <c r="L66" s="302">
        <v>949</v>
      </c>
      <c r="M66" s="147">
        <v>1329</v>
      </c>
      <c r="N66" s="147">
        <v>1329</v>
      </c>
      <c r="O66" s="148" t="s">
        <v>240</v>
      </c>
      <c r="P66" s="148" t="s">
        <v>240</v>
      </c>
      <c r="Q66" s="385"/>
      <c r="R66" s="376">
        <f>D66+K66</f>
        <v>675</v>
      </c>
      <c r="S66" s="376">
        <f>E66+L66</f>
        <v>1773</v>
      </c>
      <c r="T66" s="302">
        <f t="shared" si="11"/>
        <v>2465</v>
      </c>
      <c r="U66" s="376">
        <f t="shared" si="12"/>
        <v>2448</v>
      </c>
      <c r="V66" s="146" t="s">
        <v>214</v>
      </c>
      <c r="W66" s="378" t="s">
        <v>214</v>
      </c>
      <c r="X66" s="127"/>
      <c r="Y66" s="127"/>
    </row>
    <row r="67" spans="1:25" ht="29.25" customHeight="1">
      <c r="A67" s="587" t="s">
        <v>209</v>
      </c>
      <c r="B67" s="588"/>
      <c r="C67" s="589"/>
      <c r="D67" s="584">
        <v>128</v>
      </c>
      <c r="E67" s="585"/>
      <c r="F67" s="144">
        <v>129</v>
      </c>
      <c r="G67" s="377">
        <f t="shared" si="13"/>
        <v>128</v>
      </c>
      <c r="H67" s="146" t="s">
        <v>215</v>
      </c>
      <c r="I67" s="378" t="s">
        <v>215</v>
      </c>
      <c r="J67" s="412"/>
      <c r="K67" s="545">
        <v>126</v>
      </c>
      <c r="L67" s="546"/>
      <c r="M67" s="266">
        <v>127</v>
      </c>
      <c r="N67" s="302">
        <v>126</v>
      </c>
      <c r="O67" s="148" t="s">
        <v>242</v>
      </c>
      <c r="P67" s="148" t="s">
        <v>242</v>
      </c>
      <c r="Q67" s="385"/>
      <c r="R67" s="586">
        <f>D67+K67</f>
        <v>254</v>
      </c>
      <c r="S67" s="586"/>
      <c r="T67" s="302">
        <f>F67+M67</f>
        <v>256</v>
      </c>
      <c r="U67" s="376">
        <f t="shared" si="12"/>
        <v>254</v>
      </c>
      <c r="V67" s="146" t="s">
        <v>215</v>
      </c>
      <c r="W67" s="378" t="s">
        <v>215</v>
      </c>
      <c r="X67" s="127"/>
      <c r="Y67" s="127"/>
    </row>
    <row r="68" spans="1:25" ht="29.25" customHeight="1">
      <c r="A68" s="587" t="s">
        <v>247</v>
      </c>
      <c r="B68" s="588"/>
      <c r="C68" s="589"/>
      <c r="D68" s="376"/>
      <c r="E68" s="376"/>
      <c r="F68" s="144">
        <v>0</v>
      </c>
      <c r="G68" s="377">
        <f t="shared" si="13"/>
        <v>0</v>
      </c>
      <c r="H68" s="146"/>
      <c r="I68" s="378"/>
      <c r="J68" s="412" t="s">
        <v>143</v>
      </c>
      <c r="K68" s="413"/>
      <c r="L68" s="414"/>
      <c r="M68" s="266">
        <v>2</v>
      </c>
      <c r="N68" s="302"/>
      <c r="O68" s="148"/>
      <c r="P68" s="148"/>
      <c r="Q68" s="385" t="s">
        <v>143</v>
      </c>
      <c r="R68" s="376"/>
      <c r="S68" s="376"/>
      <c r="T68" s="376">
        <v>2</v>
      </c>
      <c r="U68" s="376"/>
      <c r="V68" s="378"/>
      <c r="W68" s="378"/>
      <c r="X68" s="127"/>
      <c r="Y68" s="127"/>
    </row>
    <row r="69" spans="1:25" ht="16.5" customHeight="1">
      <c r="A69" s="583" t="s">
        <v>146</v>
      </c>
      <c r="B69" s="583"/>
      <c r="C69" s="583"/>
      <c r="D69" s="377">
        <v>66.283</v>
      </c>
      <c r="E69" s="377">
        <v>17.07</v>
      </c>
      <c r="F69" s="145">
        <v>82.923</v>
      </c>
      <c r="G69" s="377">
        <f t="shared" si="13"/>
        <v>83.35300000000001</v>
      </c>
      <c r="H69" s="146" t="s">
        <v>213</v>
      </c>
      <c r="I69" s="378" t="s">
        <v>213</v>
      </c>
      <c r="J69" s="378"/>
      <c r="K69" s="384">
        <v>17.22</v>
      </c>
      <c r="L69" s="384">
        <v>8.69</v>
      </c>
      <c r="M69" s="384">
        <v>25.91</v>
      </c>
      <c r="N69" s="384">
        <f>K69+L69</f>
        <v>25.909999999999997</v>
      </c>
      <c r="O69" s="378" t="s">
        <v>212</v>
      </c>
      <c r="P69" s="148" t="s">
        <v>212</v>
      </c>
      <c r="Q69" s="385"/>
      <c r="R69" s="376">
        <f aca="true" t="shared" si="14" ref="R69:T70">D69+K69</f>
        <v>83.503</v>
      </c>
      <c r="S69" s="376">
        <f t="shared" si="14"/>
        <v>25.759999999999998</v>
      </c>
      <c r="T69" s="376">
        <f t="shared" si="14"/>
        <v>108.833</v>
      </c>
      <c r="U69" s="386">
        <f>G69+N69</f>
        <v>109.263</v>
      </c>
      <c r="V69" s="378" t="s">
        <v>213</v>
      </c>
      <c r="W69" s="378" t="s">
        <v>213</v>
      </c>
      <c r="X69" s="127"/>
      <c r="Y69" s="127"/>
    </row>
    <row r="70" spans="1:25" ht="16.5" customHeight="1">
      <c r="A70" s="583" t="s">
        <v>147</v>
      </c>
      <c r="B70" s="583"/>
      <c r="C70" s="583"/>
      <c r="D70" s="377">
        <v>79.497</v>
      </c>
      <c r="E70" s="377">
        <v>69.065</v>
      </c>
      <c r="F70" s="145">
        <v>149.025</v>
      </c>
      <c r="G70" s="377">
        <f t="shared" si="13"/>
        <v>148.562</v>
      </c>
      <c r="H70" s="146" t="s">
        <v>216</v>
      </c>
      <c r="I70" s="378" t="s">
        <v>216</v>
      </c>
      <c r="J70" s="378"/>
      <c r="K70" s="384">
        <v>65.697</v>
      </c>
      <c r="L70" s="384">
        <v>66.42</v>
      </c>
      <c r="M70" s="377">
        <v>132.117</v>
      </c>
      <c r="N70" s="384">
        <f>K70+L70</f>
        <v>132.11700000000002</v>
      </c>
      <c r="O70" s="378" t="s">
        <v>212</v>
      </c>
      <c r="P70" s="148" t="s">
        <v>212</v>
      </c>
      <c r="Q70" s="385"/>
      <c r="R70" s="376">
        <f t="shared" si="14"/>
        <v>145.19400000000002</v>
      </c>
      <c r="S70" s="376">
        <f t="shared" si="14"/>
        <v>135.485</v>
      </c>
      <c r="T70" s="376">
        <f t="shared" si="14"/>
        <v>281.142</v>
      </c>
      <c r="U70" s="386">
        <f>G70+N70</f>
        <v>280.67900000000003</v>
      </c>
      <c r="V70" s="378" t="s">
        <v>216</v>
      </c>
      <c r="W70" s="378" t="s">
        <v>216</v>
      </c>
      <c r="X70" s="127"/>
      <c r="Y70" s="127"/>
    </row>
    <row r="72" ht="15">
      <c r="M72" s="107"/>
    </row>
  </sheetData>
  <sheetProtection/>
  <mergeCells count="193">
    <mergeCell ref="P38:Q38"/>
    <mergeCell ref="P39:Q39"/>
    <mergeCell ref="P40:Q40"/>
    <mergeCell ref="P16:Q16"/>
    <mergeCell ref="P18:Q18"/>
    <mergeCell ref="P20:Q20"/>
    <mergeCell ref="P21:Q21"/>
    <mergeCell ref="P25:Q25"/>
    <mergeCell ref="P23:Q23"/>
    <mergeCell ref="J25:K25"/>
    <mergeCell ref="J26:R26"/>
    <mergeCell ref="J27:K27"/>
    <mergeCell ref="J28:K28"/>
    <mergeCell ref="J31:N31"/>
    <mergeCell ref="J32:L32"/>
    <mergeCell ref="P27:Q27"/>
    <mergeCell ref="P28:Q28"/>
    <mergeCell ref="O32:Q32"/>
    <mergeCell ref="J20:K20"/>
    <mergeCell ref="J21:K21"/>
    <mergeCell ref="J22:N22"/>
    <mergeCell ref="J23:K23"/>
    <mergeCell ref="J24:R24"/>
    <mergeCell ref="O22:R22"/>
    <mergeCell ref="A68:C68"/>
    <mergeCell ref="J59:P59"/>
    <mergeCell ref="J60:L60"/>
    <mergeCell ref="Q59:W59"/>
    <mergeCell ref="Q60:S60"/>
    <mergeCell ref="J14:R14"/>
    <mergeCell ref="J15:N15"/>
    <mergeCell ref="J16:K16"/>
    <mergeCell ref="J17:R17"/>
    <mergeCell ref="J18:K18"/>
    <mergeCell ref="G22:I22"/>
    <mergeCell ref="A22:A23"/>
    <mergeCell ref="B22:B23"/>
    <mergeCell ref="C22:F22"/>
    <mergeCell ref="A17:A20"/>
    <mergeCell ref="B17:B20"/>
    <mergeCell ref="C19:I19"/>
    <mergeCell ref="C24:I24"/>
    <mergeCell ref="A28:B28"/>
    <mergeCell ref="C26:I26"/>
    <mergeCell ref="A24:A27"/>
    <mergeCell ref="F32:G32"/>
    <mergeCell ref="H34:I34"/>
    <mergeCell ref="B24:B27"/>
    <mergeCell ref="F31:I31"/>
    <mergeCell ref="A31:E33"/>
    <mergeCell ref="A34:E34"/>
    <mergeCell ref="A35:E35"/>
    <mergeCell ref="I46:K46"/>
    <mergeCell ref="H37:I37"/>
    <mergeCell ref="H38:I38"/>
    <mergeCell ref="H35:I35"/>
    <mergeCell ref="G46:H46"/>
    <mergeCell ref="C46:D46"/>
    <mergeCell ref="H40:I40"/>
    <mergeCell ref="A36:E36"/>
    <mergeCell ref="J35:K35"/>
    <mergeCell ref="H36:I36"/>
    <mergeCell ref="A45:B46"/>
    <mergeCell ref="C45:F45"/>
    <mergeCell ref="E47:F47"/>
    <mergeCell ref="C48:D48"/>
    <mergeCell ref="E48:F48"/>
    <mergeCell ref="A37:E37"/>
    <mergeCell ref="A38:E38"/>
    <mergeCell ref="A13:I13"/>
    <mergeCell ref="A30:I30"/>
    <mergeCell ref="A42:I42"/>
    <mergeCell ref="C15:F15"/>
    <mergeCell ref="G15:I15"/>
    <mergeCell ref="G45:K45"/>
    <mergeCell ref="A44:I44"/>
    <mergeCell ref="B14:B16"/>
    <mergeCell ref="J33:K33"/>
    <mergeCell ref="C14:I14"/>
    <mergeCell ref="A7:I7"/>
    <mergeCell ref="A8:I8"/>
    <mergeCell ref="A9:I9"/>
    <mergeCell ref="A11:I11"/>
    <mergeCell ref="H39:I39"/>
    <mergeCell ref="A39:E39"/>
    <mergeCell ref="H32:I33"/>
    <mergeCell ref="C17:I17"/>
    <mergeCell ref="A21:B21"/>
    <mergeCell ref="A14:A16"/>
    <mergeCell ref="H60:I60"/>
    <mergeCell ref="F60:G60"/>
    <mergeCell ref="D60:E60"/>
    <mergeCell ref="A40:E40"/>
    <mergeCell ref="E46:F46"/>
    <mergeCell ref="A47:B47"/>
    <mergeCell ref="A48:B48"/>
    <mergeCell ref="C47:D47"/>
    <mergeCell ref="E52:F52"/>
    <mergeCell ref="A70:C70"/>
    <mergeCell ref="D67:E67"/>
    <mergeCell ref="E53:F53"/>
    <mergeCell ref="G53:H53"/>
    <mergeCell ref="R67:S67"/>
    <mergeCell ref="A69:C69"/>
    <mergeCell ref="A65:C65"/>
    <mergeCell ref="A66:C66"/>
    <mergeCell ref="A67:C67"/>
    <mergeCell ref="A59:C61"/>
    <mergeCell ref="O15:R15"/>
    <mergeCell ref="J34:K34"/>
    <mergeCell ref="J36:K36"/>
    <mergeCell ref="J37:K37"/>
    <mergeCell ref="J38:K38"/>
    <mergeCell ref="R32:S33"/>
    <mergeCell ref="M37:N37"/>
    <mergeCell ref="M38:N38"/>
    <mergeCell ref="J19:R19"/>
    <mergeCell ref="S24:Y24"/>
    <mergeCell ref="S14:Y14"/>
    <mergeCell ref="S15:V15"/>
    <mergeCell ref="W15:Y15"/>
    <mergeCell ref="S17:Y17"/>
    <mergeCell ref="S19:Y19"/>
    <mergeCell ref="S22:V22"/>
    <mergeCell ref="W22:Y22"/>
    <mergeCell ref="S26:Y26"/>
    <mergeCell ref="M32:N33"/>
    <mergeCell ref="O31:S31"/>
    <mergeCell ref="R39:S39"/>
    <mergeCell ref="M34:N34"/>
    <mergeCell ref="M35:N35"/>
    <mergeCell ref="M36:N36"/>
    <mergeCell ref="P33:Q33"/>
    <mergeCell ref="P34:Q34"/>
    <mergeCell ref="P37:Q37"/>
    <mergeCell ref="N47:O47"/>
    <mergeCell ref="L48:M48"/>
    <mergeCell ref="R34:S34"/>
    <mergeCell ref="R35:S35"/>
    <mergeCell ref="R36:S36"/>
    <mergeCell ref="R37:S37"/>
    <mergeCell ref="R38:S38"/>
    <mergeCell ref="R40:S40"/>
    <mergeCell ref="P35:Q35"/>
    <mergeCell ref="P36:Q36"/>
    <mergeCell ref="P46:R46"/>
    <mergeCell ref="P47:R47"/>
    <mergeCell ref="P48:R48"/>
    <mergeCell ref="L45:R45"/>
    <mergeCell ref="G52:H52"/>
    <mergeCell ref="G47:H47"/>
    <mergeCell ref="I47:K47"/>
    <mergeCell ref="G48:H48"/>
    <mergeCell ref="I48:K48"/>
    <mergeCell ref="L46:M46"/>
    <mergeCell ref="T60:U60"/>
    <mergeCell ref="V60:W60"/>
    <mergeCell ref="N48:O48"/>
    <mergeCell ref="A57:I57"/>
    <mergeCell ref="A51:I51"/>
    <mergeCell ref="M60:N60"/>
    <mergeCell ref="O60:P60"/>
    <mergeCell ref="A55:D55"/>
    <mergeCell ref="I53:K53"/>
    <mergeCell ref="A54:D54"/>
    <mergeCell ref="J39:K39"/>
    <mergeCell ref="J40:K40"/>
    <mergeCell ref="E49:F49"/>
    <mergeCell ref="G49:H49"/>
    <mergeCell ref="I49:K49"/>
    <mergeCell ref="L49:M49"/>
    <mergeCell ref="M40:N40"/>
    <mergeCell ref="M39:N39"/>
    <mergeCell ref="N46:O46"/>
    <mergeCell ref="L47:M47"/>
    <mergeCell ref="K67:L67"/>
    <mergeCell ref="D59:I59"/>
    <mergeCell ref="E55:F55"/>
    <mergeCell ref="G55:H55"/>
    <mergeCell ref="I55:K55"/>
    <mergeCell ref="C49:D49"/>
    <mergeCell ref="A63:C63"/>
    <mergeCell ref="A64:C64"/>
    <mergeCell ref="A62:C62"/>
    <mergeCell ref="I52:K52"/>
    <mergeCell ref="N49:O49"/>
    <mergeCell ref="P49:R49"/>
    <mergeCell ref="A52:D52"/>
    <mergeCell ref="A53:D53"/>
    <mergeCell ref="I54:K54"/>
    <mergeCell ref="E54:F54"/>
    <mergeCell ref="G54:H54"/>
    <mergeCell ref="A49:B49"/>
  </mergeCells>
  <printOptions/>
  <pageMargins left="0.7" right="0.7" top="0.75" bottom="0.75" header="0.3" footer="0.3"/>
  <pageSetup fitToHeight="3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2.7109375" style="0" customWidth="1"/>
    <col min="2" max="2" width="14.7109375" style="0" customWidth="1"/>
    <col min="3" max="3" width="16.57421875" style="0" customWidth="1"/>
    <col min="4" max="4" width="20.00390625" style="0" customWidth="1"/>
    <col min="5" max="5" width="20.7109375" style="0" customWidth="1"/>
    <col min="6" max="6" width="14.140625" style="0" customWidth="1"/>
    <col min="7" max="7" width="51.00390625" style="0" customWidth="1"/>
    <col min="8" max="8" width="11.8515625" style="0" customWidth="1"/>
    <col min="9" max="9" width="13.8515625" style="0" customWidth="1"/>
    <col min="10" max="10" width="13.28125" style="0" customWidth="1"/>
    <col min="11" max="11" width="14.57421875" style="0" customWidth="1"/>
  </cols>
  <sheetData>
    <row r="1" spans="1:11" ht="21">
      <c r="A1" s="715" t="s">
        <v>115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</row>
    <row r="2" ht="15">
      <c r="A2" s="2"/>
    </row>
    <row r="3" spans="1:11" ht="152.25" customHeight="1">
      <c r="A3" s="4" t="s">
        <v>9</v>
      </c>
      <c r="B3" s="4" t="s">
        <v>109</v>
      </c>
      <c r="C3" s="4" t="s">
        <v>116</v>
      </c>
      <c r="D3" s="4" t="s">
        <v>110</v>
      </c>
      <c r="E3" s="4" t="s">
        <v>111</v>
      </c>
      <c r="F3" s="4" t="s">
        <v>112</v>
      </c>
      <c r="G3" s="4" t="s">
        <v>117</v>
      </c>
      <c r="H3" s="4" t="s">
        <v>113</v>
      </c>
      <c r="I3" s="4" t="s">
        <v>118</v>
      </c>
      <c r="J3" s="4" t="s">
        <v>119</v>
      </c>
      <c r="K3" s="4" t="s">
        <v>114</v>
      </c>
    </row>
    <row r="4" spans="1:11" ht="1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158.25" customHeight="1">
      <c r="A5" s="4">
        <v>1</v>
      </c>
      <c r="B5" s="4">
        <v>1</v>
      </c>
      <c r="C5" s="4" t="s">
        <v>150</v>
      </c>
      <c r="D5" s="4" t="s">
        <v>151</v>
      </c>
      <c r="E5" s="149" t="s">
        <v>239</v>
      </c>
      <c r="F5" s="4" t="s">
        <v>152</v>
      </c>
      <c r="G5" s="19" t="s">
        <v>153</v>
      </c>
      <c r="H5" s="21" t="s">
        <v>154</v>
      </c>
      <c r="I5" s="4">
        <v>15</v>
      </c>
      <c r="J5" s="4">
        <v>0</v>
      </c>
      <c r="K5" s="4">
        <v>0</v>
      </c>
    </row>
    <row r="6" spans="1:11" ht="165">
      <c r="A6" s="31">
        <v>2</v>
      </c>
      <c r="B6" s="31">
        <v>1</v>
      </c>
      <c r="C6" s="31" t="s">
        <v>150</v>
      </c>
      <c r="D6" s="150" t="s">
        <v>243</v>
      </c>
      <c r="E6" s="150" t="s">
        <v>244</v>
      </c>
      <c r="F6" s="31" t="s">
        <v>152</v>
      </c>
      <c r="G6" s="19" t="s">
        <v>153</v>
      </c>
      <c r="H6" s="21" t="s">
        <v>154</v>
      </c>
      <c r="I6" s="31">
        <v>15</v>
      </c>
      <c r="J6" s="31">
        <v>0</v>
      </c>
      <c r="K6" s="31">
        <v>0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PageLayoutView="0" workbookViewId="0" topLeftCell="A1">
      <selection activeCell="D4" sqref="D4:D7"/>
    </sheetView>
  </sheetViews>
  <sheetFormatPr defaultColWidth="9.140625" defaultRowHeight="15"/>
  <cols>
    <col min="1" max="1" width="4.7109375" style="0" customWidth="1"/>
    <col min="2" max="2" width="70.00390625" style="0" customWidth="1"/>
    <col min="3" max="3" width="14.140625" style="0" customWidth="1"/>
    <col min="4" max="4" width="20.00390625" style="0" customWidth="1"/>
    <col min="5" max="5" width="21.7109375" style="0" customWidth="1"/>
  </cols>
  <sheetData>
    <row r="1" spans="1:5" ht="59.25" customHeight="1">
      <c r="A1" s="643" t="s">
        <v>120</v>
      </c>
      <c r="B1" s="643"/>
      <c r="C1" s="643"/>
      <c r="D1" s="643"/>
      <c r="E1" s="643"/>
    </row>
    <row r="2" ht="15">
      <c r="A2" s="2"/>
    </row>
    <row r="3" spans="1:5" ht="36.75" customHeight="1">
      <c r="A3" s="4" t="s">
        <v>9</v>
      </c>
      <c r="B3" s="4" t="s">
        <v>121</v>
      </c>
      <c r="C3" s="4" t="s">
        <v>122</v>
      </c>
      <c r="D3" s="6" t="s">
        <v>223</v>
      </c>
      <c r="E3" s="6" t="s">
        <v>224</v>
      </c>
    </row>
    <row r="4" spans="1:5" ht="20.25" customHeight="1">
      <c r="A4" s="716">
        <v>1</v>
      </c>
      <c r="B4" s="717" t="s">
        <v>123</v>
      </c>
      <c r="C4" s="716" t="s">
        <v>126</v>
      </c>
      <c r="D4" s="720" t="s">
        <v>156</v>
      </c>
      <c r="E4" s="723" t="s">
        <v>250</v>
      </c>
    </row>
    <row r="5" spans="1:5" ht="18.75" customHeight="1">
      <c r="A5" s="716"/>
      <c r="B5" s="718"/>
      <c r="C5" s="716"/>
      <c r="D5" s="721"/>
      <c r="E5" s="724"/>
    </row>
    <row r="6" spans="1:5" ht="18.75" customHeight="1">
      <c r="A6" s="716"/>
      <c r="B6" s="718"/>
      <c r="C6" s="716"/>
      <c r="D6" s="721"/>
      <c r="E6" s="724"/>
    </row>
    <row r="7" spans="1:5" ht="18.75" customHeight="1">
      <c r="A7" s="716"/>
      <c r="B7" s="719"/>
      <c r="C7" s="716"/>
      <c r="D7" s="722"/>
      <c r="E7" s="725"/>
    </row>
    <row r="8" spans="1:5" ht="18.75" customHeight="1">
      <c r="A8" s="716"/>
      <c r="B8" s="5" t="s">
        <v>124</v>
      </c>
      <c r="C8" s="716"/>
      <c r="D8" s="4" t="s">
        <v>155</v>
      </c>
      <c r="E8" s="151" t="s">
        <v>245</v>
      </c>
    </row>
    <row r="9" spans="1:5" ht="18" customHeight="1">
      <c r="A9" s="716"/>
      <c r="B9" s="5" t="s">
        <v>125</v>
      </c>
      <c r="C9" s="716"/>
      <c r="D9" s="20" t="s">
        <v>157</v>
      </c>
      <c r="E9" s="20" t="s">
        <v>157</v>
      </c>
    </row>
    <row r="10" spans="1:5" ht="28.5" customHeight="1">
      <c r="A10" s="4">
        <v>2</v>
      </c>
      <c r="B10" s="6" t="s">
        <v>127</v>
      </c>
      <c r="C10" s="4" t="s">
        <v>128</v>
      </c>
      <c r="D10" s="20" t="s">
        <v>157</v>
      </c>
      <c r="E10" s="20" t="s">
        <v>157</v>
      </c>
    </row>
    <row r="11" spans="1:5" ht="30">
      <c r="A11" s="16" t="s">
        <v>31</v>
      </c>
      <c r="B11" s="6" t="s">
        <v>129</v>
      </c>
      <c r="C11" s="4" t="s">
        <v>128</v>
      </c>
      <c r="D11" s="20" t="s">
        <v>157</v>
      </c>
      <c r="E11" s="20" t="s">
        <v>157</v>
      </c>
    </row>
    <row r="12" spans="1:5" ht="30">
      <c r="A12" s="16" t="s">
        <v>32</v>
      </c>
      <c r="B12" s="6" t="s">
        <v>130</v>
      </c>
      <c r="C12" s="4" t="s">
        <v>128</v>
      </c>
      <c r="D12" s="20" t="s">
        <v>157</v>
      </c>
      <c r="E12" s="20" t="s">
        <v>157</v>
      </c>
    </row>
    <row r="13" spans="1:5" ht="32.25" customHeight="1">
      <c r="A13" s="4">
        <v>3</v>
      </c>
      <c r="B13" s="6" t="s">
        <v>132</v>
      </c>
      <c r="C13" s="4" t="s">
        <v>131</v>
      </c>
      <c r="D13" s="20" t="s">
        <v>157</v>
      </c>
      <c r="E13" s="20" t="s">
        <v>157</v>
      </c>
    </row>
    <row r="14" spans="1:5" ht="30.75" customHeight="1">
      <c r="A14" s="4">
        <v>4</v>
      </c>
      <c r="B14" s="6" t="s">
        <v>133</v>
      </c>
      <c r="C14" s="4" t="s">
        <v>131</v>
      </c>
      <c r="D14" s="20" t="s">
        <v>157</v>
      </c>
      <c r="E14" s="20" t="s">
        <v>157</v>
      </c>
    </row>
  </sheetData>
  <sheetProtection/>
  <mergeCells count="6">
    <mergeCell ref="A4:A9"/>
    <mergeCell ref="C4:C9"/>
    <mergeCell ref="B4:B7"/>
    <mergeCell ref="D4:D7"/>
    <mergeCell ref="E4:E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5"/>
  <sheetViews>
    <sheetView workbookViewId="0" topLeftCell="A1">
      <selection activeCell="B3" sqref="B3:D3"/>
    </sheetView>
  </sheetViews>
  <sheetFormatPr defaultColWidth="9.140625" defaultRowHeight="15"/>
  <cols>
    <col min="1" max="1" width="5.140625" style="396" customWidth="1"/>
    <col min="2" max="2" width="55.8515625" style="396" customWidth="1"/>
    <col min="3" max="3" width="16.421875" style="396" customWidth="1"/>
    <col min="4" max="4" width="24.28125" style="396" customWidth="1"/>
    <col min="5" max="16384" width="9.140625" style="396" customWidth="1"/>
  </cols>
  <sheetData>
    <row r="1" spans="1:4" ht="57.75" customHeight="1">
      <c r="A1" s="393"/>
      <c r="B1" s="643" t="s">
        <v>757</v>
      </c>
      <c r="C1" s="643"/>
      <c r="D1" s="643"/>
    </row>
    <row r="2" spans="1:3" ht="15.75">
      <c r="A2" s="403"/>
      <c r="B2" s="403"/>
      <c r="C2" s="403"/>
    </row>
    <row r="3" spans="1:4" ht="33.75" customHeight="1">
      <c r="A3" s="403"/>
      <c r="B3" s="726" t="s">
        <v>1008</v>
      </c>
      <c r="C3" s="726"/>
      <c r="D3" s="726"/>
    </row>
    <row r="4" spans="1:4" ht="20.25" customHeight="1">
      <c r="A4" s="403"/>
      <c r="B4" s="726" t="s">
        <v>758</v>
      </c>
      <c r="C4" s="726"/>
      <c r="D4" s="726"/>
    </row>
    <row r="5" spans="2:4" ht="36" customHeight="1">
      <c r="B5" s="726" t="s">
        <v>759</v>
      </c>
      <c r="C5" s="726"/>
      <c r="D5" s="726"/>
    </row>
  </sheetData>
  <sheetProtection/>
  <mergeCells count="4">
    <mergeCell ref="B1:D1"/>
    <mergeCell ref="B3:D3"/>
    <mergeCell ref="B4:D4"/>
    <mergeCell ref="B5:D5"/>
  </mergeCells>
  <printOptions/>
  <pageMargins left="0.5905511811023623" right="0.1968503937007874" top="0.7874015748031497" bottom="0.1968503937007874" header="0" footer="0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"/>
  <sheetViews>
    <sheetView workbookViewId="0" topLeftCell="A1">
      <selection activeCell="B20" sqref="B20"/>
    </sheetView>
  </sheetViews>
  <sheetFormatPr defaultColWidth="9.140625" defaultRowHeight="15"/>
  <cols>
    <col min="1" max="1" width="5.140625" style="396" customWidth="1"/>
    <col min="2" max="2" width="55.8515625" style="396" customWidth="1"/>
    <col min="3" max="3" width="16.421875" style="396" customWidth="1"/>
    <col min="4" max="4" width="27.28125" style="396" customWidth="1"/>
    <col min="5" max="16384" width="9.140625" style="396" customWidth="1"/>
  </cols>
  <sheetData>
    <row r="1" spans="1:4" ht="24" customHeight="1">
      <c r="A1" s="393"/>
      <c r="B1" s="643" t="s">
        <v>752</v>
      </c>
      <c r="C1" s="643"/>
      <c r="D1" s="643"/>
    </row>
    <row r="2" spans="1:3" ht="15.75">
      <c r="A2" s="403"/>
      <c r="B2" s="403"/>
      <c r="C2" s="403"/>
    </row>
    <row r="3" spans="1:3" ht="15.75">
      <c r="A3" s="403"/>
      <c r="B3" s="406" t="s">
        <v>754</v>
      </c>
      <c r="C3" s="403"/>
    </row>
    <row r="4" spans="1:3" ht="15.75">
      <c r="A4" s="403"/>
      <c r="B4" s="405" t="s">
        <v>755</v>
      </c>
      <c r="C4" s="403"/>
    </row>
    <row r="5" spans="1:4" ht="15.75">
      <c r="A5" s="403"/>
      <c r="B5" s="407" t="s">
        <v>753</v>
      </c>
      <c r="C5" s="405"/>
      <c r="D5" s="399"/>
    </row>
    <row r="6" spans="1:4" ht="15.75">
      <c r="A6" s="403"/>
      <c r="B6" s="407" t="s">
        <v>719</v>
      </c>
      <c r="C6" s="405"/>
      <c r="D6" s="399"/>
    </row>
    <row r="7" spans="1:3" ht="15.75">
      <c r="A7" s="403"/>
      <c r="B7" s="406" t="s">
        <v>718</v>
      </c>
      <c r="C7" s="403"/>
    </row>
    <row r="8" spans="1:3" ht="15.75">
      <c r="A8" s="403"/>
      <c r="B8" s="406" t="s">
        <v>720</v>
      </c>
      <c r="C8" s="403"/>
    </row>
    <row r="9" spans="1:3" ht="15.75">
      <c r="A9" s="403"/>
      <c r="B9" s="406" t="s">
        <v>756</v>
      </c>
      <c r="C9" s="403"/>
    </row>
  </sheetData>
  <sheetProtection/>
  <mergeCells count="1">
    <mergeCell ref="B1:D1"/>
  </mergeCells>
  <printOptions/>
  <pageMargins left="0.5905511811023623" right="0.1968503937007874" top="0.7874015748031497" bottom="0.1968503937007874" header="0" footer="0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workbookViewId="0" topLeftCell="A1">
      <selection activeCell="B4" sqref="B4:D4"/>
    </sheetView>
  </sheetViews>
  <sheetFormatPr defaultColWidth="9.140625" defaultRowHeight="15"/>
  <cols>
    <col min="1" max="1" width="5.140625" style="396" customWidth="1"/>
    <col min="2" max="2" width="55.8515625" style="396" customWidth="1"/>
    <col min="3" max="3" width="20.421875" style="396" customWidth="1"/>
    <col min="4" max="4" width="27.28125" style="396" customWidth="1"/>
    <col min="5" max="16384" width="9.140625" style="396" customWidth="1"/>
  </cols>
  <sheetData>
    <row r="1" spans="1:4" ht="75" customHeight="1">
      <c r="A1" s="400"/>
      <c r="B1" s="643" t="s">
        <v>1004</v>
      </c>
      <c r="C1" s="643"/>
      <c r="D1" s="643"/>
    </row>
    <row r="2" spans="1:3" ht="15.75">
      <c r="A2" s="403"/>
      <c r="B2" s="403"/>
      <c r="C2" s="403"/>
    </row>
    <row r="3" spans="1:4" ht="15.75">
      <c r="A3" s="408">
        <v>1</v>
      </c>
      <c r="B3" s="727" t="s">
        <v>1005</v>
      </c>
      <c r="C3" s="727"/>
      <c r="D3" s="727"/>
    </row>
    <row r="4" spans="1:4" ht="15.75">
      <c r="A4" s="408">
        <v>2</v>
      </c>
      <c r="B4" s="727" t="s">
        <v>1003</v>
      </c>
      <c r="C4" s="727"/>
      <c r="D4" s="727"/>
    </row>
    <row r="5" spans="1:4" ht="33.75" customHeight="1">
      <c r="A5" s="403"/>
      <c r="C5" s="442"/>
      <c r="D5" s="442"/>
    </row>
    <row r="8" ht="15.75">
      <c r="A8" s="534"/>
    </row>
    <row r="13" ht="15.75">
      <c r="A13" s="535"/>
    </row>
  </sheetData>
  <sheetProtection/>
  <mergeCells count="3">
    <mergeCell ref="B1:D1"/>
    <mergeCell ref="B3:D3"/>
    <mergeCell ref="B4:D4"/>
  </mergeCells>
  <printOptions/>
  <pageMargins left="0.5905511811023623" right="0.1968503937007874" top="0.7874015748031497" bottom="0.1968503937007874" header="0" footer="0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"/>
  <sheetViews>
    <sheetView workbookViewId="0" topLeftCell="A1">
      <selection activeCell="D20" sqref="D20"/>
    </sheetView>
  </sheetViews>
  <sheetFormatPr defaultColWidth="9.140625" defaultRowHeight="15"/>
  <cols>
    <col min="1" max="1" width="5.140625" style="396" customWidth="1"/>
    <col min="2" max="2" width="55.8515625" style="396" customWidth="1"/>
    <col min="3" max="3" width="16.421875" style="396" customWidth="1"/>
    <col min="4" max="4" width="27.28125" style="396" customWidth="1"/>
    <col min="5" max="16384" width="9.140625" style="396" customWidth="1"/>
  </cols>
  <sheetData>
    <row r="1" spans="1:4" ht="47.25" customHeight="1">
      <c r="A1" s="400"/>
      <c r="B1" s="643" t="s">
        <v>737</v>
      </c>
      <c r="C1" s="643"/>
      <c r="D1" s="643"/>
    </row>
    <row r="2" ht="16.5" thickBot="1"/>
    <row r="3" spans="2:4" ht="63.75" thickBot="1">
      <c r="B3" s="454" t="s">
        <v>738</v>
      </c>
      <c r="C3" s="455" t="s">
        <v>739</v>
      </c>
      <c r="D3" s="455" t="s">
        <v>740</v>
      </c>
    </row>
    <row r="4" spans="2:4" ht="15.75">
      <c r="B4" s="728" t="s">
        <v>741</v>
      </c>
      <c r="C4" s="728">
        <v>12</v>
      </c>
      <c r="D4" s="456" t="s">
        <v>742</v>
      </c>
    </row>
    <row r="5" spans="2:4" ht="15.75">
      <c r="B5" s="729"/>
      <c r="C5" s="729"/>
      <c r="D5" s="456" t="s">
        <v>743</v>
      </c>
    </row>
    <row r="6" spans="2:4" ht="16.5" thickBot="1">
      <c r="B6" s="730"/>
      <c r="C6" s="730"/>
      <c r="D6" s="457" t="s">
        <v>744</v>
      </c>
    </row>
    <row r="7" spans="2:4" ht="15.75">
      <c r="B7" s="728" t="s">
        <v>745</v>
      </c>
      <c r="C7" s="728">
        <v>24</v>
      </c>
      <c r="D7" s="456" t="s">
        <v>746</v>
      </c>
    </row>
    <row r="8" spans="2:4" ht="15.75">
      <c r="B8" s="729"/>
      <c r="C8" s="729"/>
      <c r="D8" s="456" t="s">
        <v>747</v>
      </c>
    </row>
    <row r="9" spans="2:4" ht="16.5" thickBot="1">
      <c r="B9" s="730"/>
      <c r="C9" s="730"/>
      <c r="D9" s="457" t="s">
        <v>744</v>
      </c>
    </row>
    <row r="10" spans="2:4" ht="15.75">
      <c r="B10" s="728" t="s">
        <v>748</v>
      </c>
      <c r="C10" s="728">
        <v>36</v>
      </c>
      <c r="D10" s="456" t="s">
        <v>749</v>
      </c>
    </row>
    <row r="11" spans="2:4" ht="15.75">
      <c r="B11" s="729"/>
      <c r="C11" s="729"/>
      <c r="D11" s="456" t="s">
        <v>750</v>
      </c>
    </row>
    <row r="12" spans="2:4" ht="16.5" thickBot="1">
      <c r="B12" s="730"/>
      <c r="C12" s="730"/>
      <c r="D12" s="457" t="s">
        <v>744</v>
      </c>
    </row>
    <row r="14" spans="1:4" ht="17.25" customHeight="1">
      <c r="A14" s="403"/>
      <c r="B14" s="726" t="s">
        <v>751</v>
      </c>
      <c r="C14" s="726"/>
      <c r="D14" s="726"/>
    </row>
  </sheetData>
  <sheetProtection/>
  <mergeCells count="8">
    <mergeCell ref="B7:B9"/>
    <mergeCell ref="C7:C9"/>
    <mergeCell ref="B10:B12"/>
    <mergeCell ref="C10:C12"/>
    <mergeCell ref="B1:D1"/>
    <mergeCell ref="B14:D14"/>
    <mergeCell ref="B4:B6"/>
    <mergeCell ref="C4:C6"/>
  </mergeCells>
  <printOptions/>
  <pageMargins left="0.5905511811023623" right="0.1968503937007874" top="0.7874015748031497" bottom="0.1968503937007874" header="0" footer="0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2"/>
  <sheetViews>
    <sheetView workbookViewId="0" topLeftCell="A1">
      <selection activeCell="B10" sqref="B10:D10"/>
    </sheetView>
  </sheetViews>
  <sheetFormatPr defaultColWidth="9.140625" defaultRowHeight="15"/>
  <cols>
    <col min="1" max="1" width="5.140625" style="396" customWidth="1"/>
    <col min="2" max="2" width="55.8515625" style="396" customWidth="1"/>
    <col min="3" max="3" width="16.421875" style="396" customWidth="1"/>
    <col min="4" max="4" width="27.28125" style="396" customWidth="1"/>
    <col min="5" max="16384" width="9.140625" style="396" customWidth="1"/>
  </cols>
  <sheetData>
    <row r="1" spans="1:4" ht="40.5" customHeight="1">
      <c r="A1" s="643" t="s">
        <v>736</v>
      </c>
      <c r="B1" s="643"/>
      <c r="C1" s="643"/>
      <c r="D1" s="643"/>
    </row>
    <row r="2" spans="1:3" ht="11.25" customHeight="1">
      <c r="A2" s="403"/>
      <c r="B2" s="403"/>
      <c r="C2" s="403"/>
    </row>
    <row r="3" spans="1:4" ht="15.75">
      <c r="A3" s="408">
        <v>1</v>
      </c>
      <c r="B3" s="732" t="s">
        <v>721</v>
      </c>
      <c r="C3" s="732"/>
      <c r="D3" s="732"/>
    </row>
    <row r="4" spans="1:4" ht="33" customHeight="1">
      <c r="A4" s="408">
        <v>2</v>
      </c>
      <c r="B4" s="731" t="s">
        <v>727</v>
      </c>
      <c r="C4" s="731"/>
      <c r="D4" s="731"/>
    </row>
    <row r="5" spans="1:4" ht="50.25" customHeight="1">
      <c r="A5" s="408">
        <v>3</v>
      </c>
      <c r="B5" s="682" t="s">
        <v>728</v>
      </c>
      <c r="C5" s="682"/>
      <c r="D5" s="682"/>
    </row>
    <row r="6" spans="1:4" ht="30.75" customHeight="1">
      <c r="A6" s="408">
        <v>4</v>
      </c>
      <c r="B6" s="653" t="s">
        <v>722</v>
      </c>
      <c r="C6" s="653"/>
      <c r="D6" s="653"/>
    </row>
    <row r="7" spans="1:4" ht="33.75" customHeight="1">
      <c r="A7" s="408">
        <v>5</v>
      </c>
      <c r="B7" s="653" t="s">
        <v>723</v>
      </c>
      <c r="C7" s="653"/>
      <c r="D7" s="653"/>
    </row>
    <row r="8" spans="1:4" ht="33.75" customHeight="1">
      <c r="A8" s="408">
        <v>6</v>
      </c>
      <c r="B8" s="731" t="s">
        <v>724</v>
      </c>
      <c r="C8" s="731"/>
      <c r="D8" s="731"/>
    </row>
    <row r="9" spans="1:4" ht="33" customHeight="1">
      <c r="A9" s="409">
        <v>7</v>
      </c>
      <c r="B9" s="731" t="s">
        <v>725</v>
      </c>
      <c r="C9" s="731"/>
      <c r="D9" s="731"/>
    </row>
    <row r="10" spans="1:4" ht="32.25" customHeight="1">
      <c r="A10" s="409">
        <v>8</v>
      </c>
      <c r="B10" s="731" t="s">
        <v>726</v>
      </c>
      <c r="C10" s="731"/>
      <c r="D10" s="731"/>
    </row>
    <row r="11" ht="15.75">
      <c r="B11" s="410"/>
    </row>
    <row r="12" ht="15.75">
      <c r="B12" s="410"/>
    </row>
  </sheetData>
  <sheetProtection/>
  <mergeCells count="9">
    <mergeCell ref="A1:D1"/>
    <mergeCell ref="B8:D8"/>
    <mergeCell ref="B9:D9"/>
    <mergeCell ref="B10:D10"/>
    <mergeCell ref="B3:D3"/>
    <mergeCell ref="B4:D4"/>
    <mergeCell ref="B5:D5"/>
    <mergeCell ref="B6:D6"/>
    <mergeCell ref="B7:D7"/>
  </mergeCells>
  <printOptions/>
  <pageMargins left="0.5905511811023623" right="0.1968503937007874" top="0.7874015748031497" bottom="0.1968503937007874" header="0" footer="0"/>
  <pageSetup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47"/>
  <sheetViews>
    <sheetView zoomScale="75" zoomScaleNormal="75" zoomScalePageLayoutView="0" workbookViewId="0" topLeftCell="A1">
      <selection activeCell="P1" sqref="P1:V16384"/>
    </sheetView>
  </sheetViews>
  <sheetFormatPr defaultColWidth="9.140625" defaultRowHeight="15"/>
  <cols>
    <col min="1" max="1" width="5.140625" style="0" customWidth="1"/>
    <col min="2" max="2" width="11.00390625" style="0" customWidth="1"/>
    <col min="3" max="3" width="17.00390625" style="0" customWidth="1"/>
  </cols>
  <sheetData>
    <row r="1" spans="1:15" ht="21">
      <c r="A1" s="715" t="s">
        <v>185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3" ht="15.75" thickBot="1">
      <c r="A3" s="2"/>
    </row>
    <row r="4" spans="1:31" ht="45" customHeight="1" thickBot="1">
      <c r="A4" s="733" t="s">
        <v>9</v>
      </c>
      <c r="B4" s="733" t="s">
        <v>159</v>
      </c>
      <c r="C4" s="733" t="s">
        <v>160</v>
      </c>
      <c r="D4" s="733" t="s">
        <v>161</v>
      </c>
      <c r="E4" s="735" t="s">
        <v>162</v>
      </c>
      <c r="F4" s="736"/>
      <c r="G4" s="736"/>
      <c r="H4" s="736"/>
      <c r="I4" s="737"/>
      <c r="J4" s="735" t="s">
        <v>163</v>
      </c>
      <c r="K4" s="736"/>
      <c r="L4" s="736"/>
      <c r="M4" s="736"/>
      <c r="N4" s="736"/>
      <c r="O4" s="737"/>
      <c r="P4" s="735" t="s">
        <v>186</v>
      </c>
      <c r="Q4" s="736"/>
      <c r="R4" s="736"/>
      <c r="S4" s="736"/>
      <c r="T4" s="736"/>
      <c r="U4" s="736"/>
      <c r="V4" s="737"/>
      <c r="W4" s="735" t="s">
        <v>164</v>
      </c>
      <c r="X4" s="736"/>
      <c r="Y4" s="736"/>
      <c r="Z4" s="737"/>
      <c r="AA4" s="735" t="s">
        <v>165</v>
      </c>
      <c r="AB4" s="736"/>
      <c r="AC4" s="737"/>
      <c r="AD4" s="735" t="s">
        <v>187</v>
      </c>
      <c r="AE4" s="737"/>
    </row>
    <row r="5" spans="1:31" ht="165.75" thickBot="1">
      <c r="A5" s="734"/>
      <c r="B5" s="734"/>
      <c r="C5" s="734"/>
      <c r="D5" s="734"/>
      <c r="E5" s="96" t="s">
        <v>166</v>
      </c>
      <c r="F5" s="96" t="s">
        <v>167</v>
      </c>
      <c r="G5" s="96" t="s">
        <v>168</v>
      </c>
      <c r="H5" s="96" t="s">
        <v>169</v>
      </c>
      <c r="I5" s="96" t="s">
        <v>87</v>
      </c>
      <c r="J5" s="96" t="s">
        <v>170</v>
      </c>
      <c r="K5" s="96" t="s">
        <v>171</v>
      </c>
      <c r="L5" s="96" t="s">
        <v>172</v>
      </c>
      <c r="M5" s="96" t="s">
        <v>173</v>
      </c>
      <c r="N5" s="96" t="s">
        <v>174</v>
      </c>
      <c r="O5" s="96" t="s">
        <v>87</v>
      </c>
      <c r="P5" s="96" t="s">
        <v>175</v>
      </c>
      <c r="Q5" s="96" t="s">
        <v>176</v>
      </c>
      <c r="R5" s="96" t="s">
        <v>171</v>
      </c>
      <c r="S5" s="96" t="s">
        <v>172</v>
      </c>
      <c r="T5" s="96" t="s">
        <v>173</v>
      </c>
      <c r="U5" s="96" t="s">
        <v>174</v>
      </c>
      <c r="V5" s="96" t="s">
        <v>87</v>
      </c>
      <c r="W5" s="96" t="s">
        <v>177</v>
      </c>
      <c r="X5" s="96" t="s">
        <v>178</v>
      </c>
      <c r="Y5" s="96" t="s">
        <v>179</v>
      </c>
      <c r="Z5" s="96" t="s">
        <v>87</v>
      </c>
      <c r="AA5" s="96" t="s">
        <v>180</v>
      </c>
      <c r="AB5" s="96" t="s">
        <v>181</v>
      </c>
      <c r="AC5" s="96" t="s">
        <v>182</v>
      </c>
      <c r="AD5" s="96" t="s">
        <v>183</v>
      </c>
      <c r="AE5" s="96" t="s">
        <v>184</v>
      </c>
    </row>
    <row r="6" spans="1:31" ht="15.75" thickBot="1">
      <c r="A6" s="97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6">
        <v>13</v>
      </c>
      <c r="N6" s="96">
        <v>14</v>
      </c>
      <c r="O6" s="96">
        <v>15</v>
      </c>
      <c r="P6" s="96">
        <v>16</v>
      </c>
      <c r="Q6" s="96">
        <v>17</v>
      </c>
      <c r="R6" s="96">
        <v>18</v>
      </c>
      <c r="S6" s="96">
        <v>19</v>
      </c>
      <c r="T6" s="96">
        <v>20</v>
      </c>
      <c r="U6" s="96">
        <v>21</v>
      </c>
      <c r="V6" s="96">
        <v>22</v>
      </c>
      <c r="W6" s="96">
        <v>23</v>
      </c>
      <c r="X6" s="96">
        <v>24</v>
      </c>
      <c r="Y6" s="96">
        <v>25</v>
      </c>
      <c r="Z6" s="96">
        <v>26</v>
      </c>
      <c r="AA6" s="96">
        <v>27</v>
      </c>
      <c r="AB6" s="96">
        <v>28</v>
      </c>
      <c r="AC6" s="96">
        <v>29</v>
      </c>
      <c r="AD6" s="96">
        <v>30</v>
      </c>
      <c r="AE6" s="96">
        <v>31</v>
      </c>
    </row>
    <row r="7" spans="1:31" s="127" customFormat="1" ht="24" customHeight="1" thickBot="1">
      <c r="A7" s="431"/>
      <c r="B7" s="738" t="s">
        <v>223</v>
      </c>
      <c r="C7" s="739"/>
      <c r="D7" s="739"/>
      <c r="E7" s="739"/>
      <c r="F7" s="739"/>
      <c r="G7" s="739"/>
      <c r="H7" s="739"/>
      <c r="I7" s="739"/>
      <c r="J7" s="740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</row>
    <row r="8" spans="1:31" s="28" customFormat="1" ht="15.75" thickBot="1">
      <c r="A8" s="265">
        <v>1</v>
      </c>
      <c r="B8" s="165">
        <v>67</v>
      </c>
      <c r="C8" s="391">
        <v>42759</v>
      </c>
      <c r="D8" s="26" t="s">
        <v>219</v>
      </c>
      <c r="E8" s="26" t="s">
        <v>221</v>
      </c>
      <c r="F8" s="26"/>
      <c r="G8" s="26"/>
      <c r="H8" s="26"/>
      <c r="I8" s="26"/>
      <c r="J8" s="26"/>
      <c r="K8" s="26" t="s">
        <v>221</v>
      </c>
      <c r="L8" s="26"/>
      <c r="M8" s="26"/>
      <c r="N8" s="26"/>
      <c r="O8" s="26"/>
      <c r="P8" s="26"/>
      <c r="Q8" s="26"/>
      <c r="R8" s="26" t="s">
        <v>219</v>
      </c>
      <c r="S8" s="26"/>
      <c r="T8" s="26"/>
      <c r="U8" s="26"/>
      <c r="V8" s="26"/>
      <c r="W8" s="26" t="s">
        <v>221</v>
      </c>
      <c r="X8" s="26"/>
      <c r="Y8" s="26"/>
      <c r="Z8" s="26"/>
      <c r="AA8" s="26" t="s">
        <v>222</v>
      </c>
      <c r="AB8" s="26"/>
      <c r="AC8" s="26"/>
      <c r="AD8" s="26" t="s">
        <v>221</v>
      </c>
      <c r="AE8" s="26"/>
    </row>
    <row r="9" spans="1:31" s="28" customFormat="1" ht="15.75" thickBot="1">
      <c r="A9" s="265" t="s">
        <v>143</v>
      </c>
      <c r="B9" s="165">
        <v>106</v>
      </c>
      <c r="C9" s="391">
        <v>42774</v>
      </c>
      <c r="D9" s="26" t="s">
        <v>219</v>
      </c>
      <c r="E9" s="26"/>
      <c r="F9" s="26"/>
      <c r="G9" s="26" t="s">
        <v>221</v>
      </c>
      <c r="H9" s="26"/>
      <c r="I9" s="26"/>
      <c r="J9" s="26"/>
      <c r="K9" s="26" t="s">
        <v>221</v>
      </c>
      <c r="L9" s="26"/>
      <c r="M9" s="26"/>
      <c r="N9" s="26"/>
      <c r="O9" s="26"/>
      <c r="P9" s="26"/>
      <c r="Q9" s="26"/>
      <c r="R9" s="26" t="s">
        <v>219</v>
      </c>
      <c r="S9" s="26"/>
      <c r="T9" s="26"/>
      <c r="U9" s="26"/>
      <c r="V9" s="26"/>
      <c r="W9" s="26" t="s">
        <v>221</v>
      </c>
      <c r="X9" s="26"/>
      <c r="Y9" s="26"/>
      <c r="Z9" s="26"/>
      <c r="AA9" s="26" t="s">
        <v>222</v>
      </c>
      <c r="AB9" s="26"/>
      <c r="AC9" s="26"/>
      <c r="AD9" s="26" t="s">
        <v>221</v>
      </c>
      <c r="AE9" s="26"/>
    </row>
    <row r="10" spans="1:31" s="28" customFormat="1" ht="15.75" thickBot="1">
      <c r="A10" s="265" t="s">
        <v>465</v>
      </c>
      <c r="B10" s="165">
        <v>104</v>
      </c>
      <c r="C10" s="391">
        <v>42773</v>
      </c>
      <c r="D10" s="26" t="s">
        <v>220</v>
      </c>
      <c r="E10" s="26" t="s">
        <v>221</v>
      </c>
      <c r="F10" s="26"/>
      <c r="G10" s="26"/>
      <c r="H10" s="26"/>
      <c r="I10" s="26"/>
      <c r="J10" s="26"/>
      <c r="K10" s="26" t="s">
        <v>221</v>
      </c>
      <c r="L10" s="26"/>
      <c r="M10" s="26"/>
      <c r="N10" s="26"/>
      <c r="O10" s="26"/>
      <c r="P10" s="26"/>
      <c r="Q10" s="26"/>
      <c r="R10" s="26" t="s">
        <v>219</v>
      </c>
      <c r="S10" s="26"/>
      <c r="T10" s="26"/>
      <c r="U10" s="26"/>
      <c r="V10" s="26"/>
      <c r="W10" s="26" t="s">
        <v>221</v>
      </c>
      <c r="X10" s="26"/>
      <c r="Y10" s="26"/>
      <c r="Z10" s="26"/>
      <c r="AA10" s="26" t="s">
        <v>222</v>
      </c>
      <c r="AB10" s="26"/>
      <c r="AC10" s="26"/>
      <c r="AD10" s="26" t="s">
        <v>221</v>
      </c>
      <c r="AE10" s="26"/>
    </row>
    <row r="11" spans="1:31" s="28" customFormat="1" ht="15.75" thickBot="1">
      <c r="A11" s="265" t="s">
        <v>210</v>
      </c>
      <c r="B11" s="165">
        <v>119</v>
      </c>
      <c r="C11" s="391">
        <v>42780</v>
      </c>
      <c r="D11" s="26" t="s">
        <v>219</v>
      </c>
      <c r="E11" s="26" t="s">
        <v>221</v>
      </c>
      <c r="F11" s="26"/>
      <c r="G11" s="26"/>
      <c r="H11" s="26"/>
      <c r="I11" s="26"/>
      <c r="J11" s="26"/>
      <c r="K11" s="26" t="s">
        <v>221</v>
      </c>
      <c r="L11" s="26"/>
      <c r="M11" s="26"/>
      <c r="N11" s="26"/>
      <c r="O11" s="26"/>
      <c r="P11" s="26"/>
      <c r="Q11" s="26"/>
      <c r="R11" s="26" t="s">
        <v>219</v>
      </c>
      <c r="S11" s="26"/>
      <c r="T11" s="26"/>
      <c r="U11" s="26"/>
      <c r="V11" s="26"/>
      <c r="W11" s="26" t="s">
        <v>221</v>
      </c>
      <c r="X11" s="26"/>
      <c r="Y11" s="26"/>
      <c r="Z11" s="26"/>
      <c r="AA11" s="26" t="s">
        <v>222</v>
      </c>
      <c r="AB11" s="26"/>
      <c r="AC11" s="26"/>
      <c r="AD11" s="26" t="s">
        <v>221</v>
      </c>
      <c r="AE11" s="26" t="s">
        <v>712</v>
      </c>
    </row>
    <row r="12" spans="1:31" s="28" customFormat="1" ht="15.75" thickBot="1">
      <c r="A12" s="265" t="s">
        <v>466</v>
      </c>
      <c r="B12" s="165">
        <v>130</v>
      </c>
      <c r="C12" s="391">
        <v>42783</v>
      </c>
      <c r="D12" s="26" t="s">
        <v>219</v>
      </c>
      <c r="E12" s="26"/>
      <c r="F12" s="26"/>
      <c r="G12" s="26" t="s">
        <v>221</v>
      </c>
      <c r="H12" s="26"/>
      <c r="I12" s="26"/>
      <c r="J12" s="26"/>
      <c r="K12" s="26" t="s">
        <v>221</v>
      </c>
      <c r="L12" s="26"/>
      <c r="M12" s="26"/>
      <c r="N12" s="26"/>
      <c r="O12" s="26"/>
      <c r="P12" s="26"/>
      <c r="Q12" s="26"/>
      <c r="R12" s="26" t="s">
        <v>219</v>
      </c>
      <c r="S12" s="26"/>
      <c r="T12" s="26"/>
      <c r="U12" s="26"/>
      <c r="V12" s="26"/>
      <c r="W12" s="26" t="s">
        <v>221</v>
      </c>
      <c r="X12" s="26"/>
      <c r="Y12" s="26"/>
      <c r="Z12" s="26"/>
      <c r="AA12" s="26" t="s">
        <v>222</v>
      </c>
      <c r="AB12" s="26"/>
      <c r="AC12" s="26"/>
      <c r="AD12" s="26" t="s">
        <v>221</v>
      </c>
      <c r="AE12" s="26"/>
    </row>
    <row r="13" spans="1:31" s="28" customFormat="1" ht="15.75" thickBot="1">
      <c r="A13" s="265" t="s">
        <v>467</v>
      </c>
      <c r="B13" s="165">
        <v>142</v>
      </c>
      <c r="C13" s="391">
        <v>42786</v>
      </c>
      <c r="D13" s="26" t="s">
        <v>219</v>
      </c>
      <c r="E13" s="26" t="s">
        <v>221</v>
      </c>
      <c r="F13" s="26"/>
      <c r="G13" s="26"/>
      <c r="H13" s="26"/>
      <c r="I13" s="26"/>
      <c r="J13" s="26"/>
      <c r="K13" s="26" t="s">
        <v>221</v>
      </c>
      <c r="L13" s="26"/>
      <c r="M13" s="26"/>
      <c r="N13" s="26"/>
      <c r="O13" s="26"/>
      <c r="P13" s="26"/>
      <c r="Q13" s="26"/>
      <c r="R13" s="26" t="s">
        <v>219</v>
      </c>
      <c r="S13" s="26"/>
      <c r="T13" s="26"/>
      <c r="U13" s="26"/>
      <c r="V13" s="26"/>
      <c r="W13" s="26" t="s">
        <v>221</v>
      </c>
      <c r="X13" s="26"/>
      <c r="Y13" s="26"/>
      <c r="Z13" s="26"/>
      <c r="AA13" s="26" t="s">
        <v>222</v>
      </c>
      <c r="AB13" s="26"/>
      <c r="AC13" s="26"/>
      <c r="AD13" s="26" t="s">
        <v>221</v>
      </c>
      <c r="AE13" s="26"/>
    </row>
    <row r="14" spans="1:31" s="28" customFormat="1" ht="15.75" thickBot="1">
      <c r="A14" s="265" t="s">
        <v>468</v>
      </c>
      <c r="B14" s="165">
        <v>198</v>
      </c>
      <c r="C14" s="391">
        <v>42807</v>
      </c>
      <c r="D14" s="26" t="s">
        <v>219</v>
      </c>
      <c r="E14" s="26" t="s">
        <v>221</v>
      </c>
      <c r="F14" s="26"/>
      <c r="G14" s="26"/>
      <c r="H14" s="26"/>
      <c r="I14" s="26"/>
      <c r="J14" s="26"/>
      <c r="K14" s="26" t="s">
        <v>221</v>
      </c>
      <c r="L14" s="26"/>
      <c r="M14" s="26"/>
      <c r="N14" s="26"/>
      <c r="O14" s="26"/>
      <c r="P14" s="26"/>
      <c r="Q14" s="26"/>
      <c r="R14" s="26" t="s">
        <v>219</v>
      </c>
      <c r="S14" s="26"/>
      <c r="T14" s="26"/>
      <c r="U14" s="26"/>
      <c r="V14" s="26"/>
      <c r="W14" s="26" t="s">
        <v>221</v>
      </c>
      <c r="X14" s="26"/>
      <c r="Y14" s="26"/>
      <c r="Z14" s="26"/>
      <c r="AA14" s="26" t="s">
        <v>222</v>
      </c>
      <c r="AB14" s="26"/>
      <c r="AC14" s="26"/>
      <c r="AD14" s="26" t="s">
        <v>221</v>
      </c>
      <c r="AE14" s="26"/>
    </row>
    <row r="15" spans="1:31" s="28" customFormat="1" ht="15.75" thickBot="1">
      <c r="A15" s="265" t="s">
        <v>469</v>
      </c>
      <c r="B15" s="165">
        <v>228</v>
      </c>
      <c r="C15" s="391">
        <v>42814</v>
      </c>
      <c r="D15" s="26" t="s">
        <v>219</v>
      </c>
      <c r="E15" s="26"/>
      <c r="F15" s="26"/>
      <c r="G15" s="26" t="s">
        <v>221</v>
      </c>
      <c r="H15" s="26"/>
      <c r="I15" s="26"/>
      <c r="J15" s="26"/>
      <c r="K15" s="26" t="s">
        <v>221</v>
      </c>
      <c r="L15" s="26"/>
      <c r="M15" s="26"/>
      <c r="N15" s="26"/>
      <c r="O15" s="26"/>
      <c r="P15" s="26"/>
      <c r="Q15" s="26"/>
      <c r="R15" s="26" t="s">
        <v>219</v>
      </c>
      <c r="S15" s="26"/>
      <c r="T15" s="26"/>
      <c r="U15" s="26"/>
      <c r="V15" s="26"/>
      <c r="W15" s="26" t="s">
        <v>221</v>
      </c>
      <c r="X15" s="26"/>
      <c r="Y15" s="26"/>
      <c r="Z15" s="26"/>
      <c r="AA15" s="26" t="s">
        <v>222</v>
      </c>
      <c r="AB15" s="26"/>
      <c r="AC15" s="26"/>
      <c r="AD15" s="26" t="s">
        <v>221</v>
      </c>
      <c r="AE15" s="26"/>
    </row>
    <row r="16" spans="1:31" s="28" customFormat="1" ht="15.75" thickBot="1">
      <c r="A16" s="265" t="s">
        <v>470</v>
      </c>
      <c r="B16" s="165">
        <v>245</v>
      </c>
      <c r="C16" s="391">
        <v>42817</v>
      </c>
      <c r="D16" s="26" t="s">
        <v>219</v>
      </c>
      <c r="E16" s="26" t="s">
        <v>221</v>
      </c>
      <c r="F16" s="26"/>
      <c r="G16" s="26"/>
      <c r="H16" s="26"/>
      <c r="I16" s="26"/>
      <c r="J16" s="26"/>
      <c r="K16" s="26" t="s">
        <v>221</v>
      </c>
      <c r="L16" s="26"/>
      <c r="M16" s="26"/>
      <c r="N16" s="26"/>
      <c r="O16" s="26"/>
      <c r="P16" s="26"/>
      <c r="Q16" s="26"/>
      <c r="R16" s="26" t="s">
        <v>219</v>
      </c>
      <c r="S16" s="26"/>
      <c r="T16" s="26"/>
      <c r="U16" s="26"/>
      <c r="V16" s="26"/>
      <c r="W16" s="26" t="s">
        <v>221</v>
      </c>
      <c r="X16" s="26"/>
      <c r="Y16" s="26"/>
      <c r="Z16" s="26"/>
      <c r="AA16" s="26" t="s">
        <v>222</v>
      </c>
      <c r="AB16" s="26"/>
      <c r="AC16" s="26"/>
      <c r="AD16" s="26" t="s">
        <v>221</v>
      </c>
      <c r="AE16" s="26"/>
    </row>
    <row r="17" spans="1:31" s="28" customFormat="1" ht="15.75" thickBot="1">
      <c r="A17" s="265" t="s">
        <v>471</v>
      </c>
      <c r="B17" s="165">
        <v>252</v>
      </c>
      <c r="C17" s="391">
        <v>42818</v>
      </c>
      <c r="D17" s="26" t="s">
        <v>219</v>
      </c>
      <c r="E17" s="26" t="s">
        <v>221</v>
      </c>
      <c r="F17" s="26"/>
      <c r="G17" s="26"/>
      <c r="H17" s="27"/>
      <c r="I17" s="26"/>
      <c r="J17" s="26"/>
      <c r="K17" s="26" t="s">
        <v>221</v>
      </c>
      <c r="L17" s="26"/>
      <c r="M17" s="26"/>
      <c r="N17" s="26"/>
      <c r="O17" s="26"/>
      <c r="P17" s="26"/>
      <c r="Q17" s="26"/>
      <c r="R17" s="26" t="s">
        <v>219</v>
      </c>
      <c r="S17" s="26"/>
      <c r="T17" s="26"/>
      <c r="U17" s="26"/>
      <c r="V17" s="26"/>
      <c r="W17" s="26" t="s">
        <v>221</v>
      </c>
      <c r="X17" s="26"/>
      <c r="Y17" s="26"/>
      <c r="Z17" s="26"/>
      <c r="AA17" s="26" t="s">
        <v>222</v>
      </c>
      <c r="AB17" s="26"/>
      <c r="AC17" s="26"/>
      <c r="AD17" s="26" t="s">
        <v>221</v>
      </c>
      <c r="AE17" s="26"/>
    </row>
    <row r="18" spans="1:31" s="28" customFormat="1" ht="15.75" thickBot="1">
      <c r="A18" s="265" t="s">
        <v>472</v>
      </c>
      <c r="B18" s="165">
        <v>360</v>
      </c>
      <c r="C18" s="391">
        <v>42845</v>
      </c>
      <c r="D18" s="26" t="s">
        <v>219</v>
      </c>
      <c r="E18" s="26"/>
      <c r="F18" s="26"/>
      <c r="G18" s="26" t="s">
        <v>221</v>
      </c>
      <c r="H18" s="26"/>
      <c r="I18" s="26"/>
      <c r="J18" s="26"/>
      <c r="K18" s="26" t="s">
        <v>221</v>
      </c>
      <c r="L18" s="26"/>
      <c r="M18" s="26"/>
      <c r="N18" s="26"/>
      <c r="O18" s="26"/>
      <c r="P18" s="26"/>
      <c r="Q18" s="26"/>
      <c r="R18" s="26" t="s">
        <v>219</v>
      </c>
      <c r="S18" s="26"/>
      <c r="T18" s="26"/>
      <c r="U18" s="26"/>
      <c r="V18" s="26"/>
      <c r="W18" s="26" t="s">
        <v>221</v>
      </c>
      <c r="X18" s="26"/>
      <c r="Y18" s="26"/>
      <c r="Z18" s="26"/>
      <c r="AA18" s="26" t="s">
        <v>222</v>
      </c>
      <c r="AB18" s="26"/>
      <c r="AC18" s="26"/>
      <c r="AD18" s="26"/>
      <c r="AE18" s="26"/>
    </row>
    <row r="19" spans="1:31" s="28" customFormat="1" ht="15.75" thickBot="1">
      <c r="A19" s="265" t="s">
        <v>473</v>
      </c>
      <c r="B19" s="165">
        <v>363</v>
      </c>
      <c r="C19" s="391">
        <v>42845</v>
      </c>
      <c r="D19" s="26" t="s">
        <v>219</v>
      </c>
      <c r="E19" s="26"/>
      <c r="F19" s="26"/>
      <c r="G19" s="26" t="s">
        <v>221</v>
      </c>
      <c r="H19" s="26"/>
      <c r="I19" s="26"/>
      <c r="J19" s="26"/>
      <c r="K19" s="26" t="s">
        <v>221</v>
      </c>
      <c r="L19" s="26"/>
      <c r="M19" s="26"/>
      <c r="N19" s="26"/>
      <c r="O19" s="26"/>
      <c r="P19" s="26"/>
      <c r="Q19" s="26"/>
      <c r="R19" s="26" t="s">
        <v>219</v>
      </c>
      <c r="S19" s="26"/>
      <c r="T19" s="26"/>
      <c r="U19" s="26"/>
      <c r="V19" s="26"/>
      <c r="W19" s="26" t="s">
        <v>221</v>
      </c>
      <c r="X19" s="26"/>
      <c r="Y19" s="26"/>
      <c r="Z19" s="26"/>
      <c r="AA19" s="26" t="s">
        <v>222</v>
      </c>
      <c r="AB19" s="26"/>
      <c r="AC19" s="26"/>
      <c r="AD19" s="26"/>
      <c r="AE19" s="26"/>
    </row>
    <row r="20" spans="1:31" s="28" customFormat="1" ht="15.75" thickBot="1">
      <c r="A20" s="265" t="s">
        <v>474</v>
      </c>
      <c r="B20" s="165">
        <v>386</v>
      </c>
      <c r="C20" s="391">
        <v>42852</v>
      </c>
      <c r="D20" s="26" t="s">
        <v>219</v>
      </c>
      <c r="E20" s="26" t="s">
        <v>221</v>
      </c>
      <c r="F20" s="26"/>
      <c r="G20" s="26"/>
      <c r="H20" s="26"/>
      <c r="I20" s="26"/>
      <c r="J20" s="26"/>
      <c r="K20" s="26" t="s">
        <v>221</v>
      </c>
      <c r="L20" s="26"/>
      <c r="M20" s="26"/>
      <c r="N20" s="26"/>
      <c r="O20" s="26"/>
      <c r="P20" s="26"/>
      <c r="Q20" s="26"/>
      <c r="R20" s="26" t="s">
        <v>219</v>
      </c>
      <c r="S20" s="26"/>
      <c r="T20" s="26"/>
      <c r="U20" s="26"/>
      <c r="V20" s="26"/>
      <c r="W20" s="26" t="s">
        <v>221</v>
      </c>
      <c r="X20" s="26"/>
      <c r="Y20" s="26"/>
      <c r="Z20" s="26"/>
      <c r="AA20" s="26"/>
      <c r="AB20" s="26"/>
      <c r="AC20" s="26"/>
      <c r="AD20" s="26"/>
      <c r="AE20" s="26"/>
    </row>
    <row r="21" spans="1:31" s="28" customFormat="1" ht="15.75" thickBot="1">
      <c r="A21" s="265" t="s">
        <v>475</v>
      </c>
      <c r="B21" s="165">
        <v>428</v>
      </c>
      <c r="C21" s="391">
        <v>42867</v>
      </c>
      <c r="D21" s="26" t="s">
        <v>219</v>
      </c>
      <c r="E21" s="26" t="s">
        <v>221</v>
      </c>
      <c r="F21" s="26"/>
      <c r="G21" s="26"/>
      <c r="H21" s="26"/>
      <c r="I21" s="26"/>
      <c r="J21" s="26"/>
      <c r="K21" s="26" t="s">
        <v>221</v>
      </c>
      <c r="L21" s="26"/>
      <c r="M21" s="26"/>
      <c r="N21" s="26"/>
      <c r="O21" s="26"/>
      <c r="P21" s="26"/>
      <c r="Q21" s="26"/>
      <c r="R21" s="26" t="s">
        <v>219</v>
      </c>
      <c r="S21" s="26"/>
      <c r="T21" s="26"/>
      <c r="U21" s="26"/>
      <c r="V21" s="26"/>
      <c r="W21" s="26" t="s">
        <v>221</v>
      </c>
      <c r="X21" s="26"/>
      <c r="Y21" s="26"/>
      <c r="Z21" s="26"/>
      <c r="AA21" s="26" t="s">
        <v>222</v>
      </c>
      <c r="AB21" s="26"/>
      <c r="AC21" s="26"/>
      <c r="AD21" s="26" t="s">
        <v>221</v>
      </c>
      <c r="AE21" s="26"/>
    </row>
    <row r="22" spans="1:31" s="28" customFormat="1" ht="15.75" thickBot="1">
      <c r="A22" s="265" t="s">
        <v>476</v>
      </c>
      <c r="B22" s="165">
        <v>471</v>
      </c>
      <c r="C22" s="391">
        <v>42880</v>
      </c>
      <c r="D22" s="26" t="s">
        <v>219</v>
      </c>
      <c r="E22" s="26" t="s">
        <v>221</v>
      </c>
      <c r="F22" s="26"/>
      <c r="G22" s="26"/>
      <c r="H22" s="26"/>
      <c r="I22" s="26"/>
      <c r="J22" s="26"/>
      <c r="K22" s="26" t="s">
        <v>221</v>
      </c>
      <c r="L22" s="26"/>
      <c r="M22" s="26"/>
      <c r="N22" s="26"/>
      <c r="O22" s="26"/>
      <c r="P22" s="26"/>
      <c r="Q22" s="26"/>
      <c r="R22" s="26" t="s">
        <v>219</v>
      </c>
      <c r="S22" s="26"/>
      <c r="T22" s="26"/>
      <c r="U22" s="26"/>
      <c r="V22" s="26"/>
      <c r="W22" s="26" t="s">
        <v>221</v>
      </c>
      <c r="X22" s="26"/>
      <c r="Y22" s="26"/>
      <c r="Z22" s="26"/>
      <c r="AA22" s="26" t="s">
        <v>222</v>
      </c>
      <c r="AB22" s="26"/>
      <c r="AC22" s="26"/>
      <c r="AD22" s="26" t="s">
        <v>221</v>
      </c>
      <c r="AE22" s="26"/>
    </row>
    <row r="23" spans="1:31" s="28" customFormat="1" ht="15.75" thickBot="1">
      <c r="A23" s="265" t="s">
        <v>477</v>
      </c>
      <c r="B23" s="165">
        <v>540</v>
      </c>
      <c r="C23" s="391">
        <v>42906</v>
      </c>
      <c r="D23" s="26" t="s">
        <v>219</v>
      </c>
      <c r="E23" s="26" t="s">
        <v>221</v>
      </c>
      <c r="F23" s="26"/>
      <c r="G23" s="26"/>
      <c r="H23" s="26"/>
      <c r="I23" s="26"/>
      <c r="J23" s="26"/>
      <c r="K23" s="26" t="s">
        <v>221</v>
      </c>
      <c r="L23" s="26"/>
      <c r="M23" s="26"/>
      <c r="N23" s="26"/>
      <c r="O23" s="26"/>
      <c r="P23" s="26"/>
      <c r="Q23" s="26"/>
      <c r="R23" s="26" t="s">
        <v>219</v>
      </c>
      <c r="S23" s="26"/>
      <c r="T23" s="26"/>
      <c r="U23" s="26"/>
      <c r="V23" s="26"/>
      <c r="W23" s="26" t="s">
        <v>221</v>
      </c>
      <c r="X23" s="26"/>
      <c r="Y23" s="26"/>
      <c r="Z23" s="26"/>
      <c r="AA23" s="26" t="s">
        <v>222</v>
      </c>
      <c r="AB23" s="26"/>
      <c r="AC23" s="26"/>
      <c r="AD23" s="26" t="s">
        <v>221</v>
      </c>
      <c r="AE23" s="26"/>
    </row>
    <row r="24" spans="1:31" s="28" customFormat="1" ht="15.75" thickBot="1">
      <c r="A24" s="265" t="s">
        <v>478</v>
      </c>
      <c r="B24" s="165">
        <v>563</v>
      </c>
      <c r="C24" s="391">
        <v>42913</v>
      </c>
      <c r="D24" s="26" t="s">
        <v>219</v>
      </c>
      <c r="E24" s="26" t="s">
        <v>221</v>
      </c>
      <c r="F24" s="26"/>
      <c r="G24" s="26"/>
      <c r="H24" s="26"/>
      <c r="I24" s="26"/>
      <c r="J24" s="26"/>
      <c r="K24" s="26" t="s">
        <v>221</v>
      </c>
      <c r="L24" s="26"/>
      <c r="M24" s="26"/>
      <c r="N24" s="26"/>
      <c r="O24" s="26"/>
      <c r="P24" s="26"/>
      <c r="Q24" s="26"/>
      <c r="R24" s="26" t="s">
        <v>219</v>
      </c>
      <c r="S24" s="26"/>
      <c r="T24" s="26"/>
      <c r="U24" s="26"/>
      <c r="V24" s="26"/>
      <c r="W24" s="26" t="s">
        <v>221</v>
      </c>
      <c r="X24" s="26"/>
      <c r="Y24" s="26"/>
      <c r="Z24" s="26"/>
      <c r="AA24" s="26" t="s">
        <v>222</v>
      </c>
      <c r="AB24" s="26"/>
      <c r="AC24" s="26"/>
      <c r="AD24" s="26" t="s">
        <v>221</v>
      </c>
      <c r="AE24" s="26"/>
    </row>
    <row r="25" spans="1:31" s="28" customFormat="1" ht="15.75" thickBot="1">
      <c r="A25" s="265" t="s">
        <v>479</v>
      </c>
      <c r="B25" s="165">
        <v>602</v>
      </c>
      <c r="C25" s="391">
        <v>42927</v>
      </c>
      <c r="D25" s="26" t="s">
        <v>219</v>
      </c>
      <c r="E25" s="26"/>
      <c r="F25" s="26"/>
      <c r="G25" s="26" t="s">
        <v>221</v>
      </c>
      <c r="H25" s="26"/>
      <c r="I25" s="26"/>
      <c r="J25" s="26"/>
      <c r="K25" s="26" t="s">
        <v>221</v>
      </c>
      <c r="L25" s="26"/>
      <c r="M25" s="26"/>
      <c r="N25" s="26"/>
      <c r="O25" s="26"/>
      <c r="P25" s="26"/>
      <c r="Q25" s="26"/>
      <c r="R25" s="26" t="s">
        <v>219</v>
      </c>
      <c r="S25" s="26"/>
      <c r="T25" s="26"/>
      <c r="U25" s="26"/>
      <c r="V25" s="26"/>
      <c r="W25" s="26" t="s">
        <v>221</v>
      </c>
      <c r="X25" s="26"/>
      <c r="Y25" s="26"/>
      <c r="Z25" s="26"/>
      <c r="AA25" s="26" t="s">
        <v>222</v>
      </c>
      <c r="AB25" s="26"/>
      <c r="AC25" s="26"/>
      <c r="AD25" s="26"/>
      <c r="AE25" s="26" t="s">
        <v>221</v>
      </c>
    </row>
    <row r="26" spans="1:31" s="28" customFormat="1" ht="15.75" thickBot="1">
      <c r="A26" s="265" t="s">
        <v>480</v>
      </c>
      <c r="B26" s="165">
        <v>603</v>
      </c>
      <c r="C26" s="391">
        <v>42927</v>
      </c>
      <c r="D26" s="26" t="s">
        <v>219</v>
      </c>
      <c r="E26" s="26" t="s">
        <v>221</v>
      </c>
      <c r="F26" s="26"/>
      <c r="G26" s="26"/>
      <c r="H26" s="26"/>
      <c r="I26" s="26"/>
      <c r="J26" s="26"/>
      <c r="K26" s="26" t="s">
        <v>221</v>
      </c>
      <c r="L26" s="26"/>
      <c r="M26" s="26"/>
      <c r="N26" s="26"/>
      <c r="O26" s="26"/>
      <c r="P26" s="26"/>
      <c r="Q26" s="26"/>
      <c r="R26" s="26" t="s">
        <v>219</v>
      </c>
      <c r="S26" s="26"/>
      <c r="T26" s="26"/>
      <c r="U26" s="26"/>
      <c r="V26" s="26"/>
      <c r="W26" s="26" t="s">
        <v>221</v>
      </c>
      <c r="X26" s="26"/>
      <c r="Y26" s="26"/>
      <c r="Z26" s="26"/>
      <c r="AA26" s="26" t="s">
        <v>222</v>
      </c>
      <c r="AB26" s="26"/>
      <c r="AC26" s="26"/>
      <c r="AD26" s="26"/>
      <c r="AE26" s="26" t="s">
        <v>221</v>
      </c>
    </row>
    <row r="27" spans="1:31" s="28" customFormat="1" ht="15.75" thickBot="1">
      <c r="A27" s="265" t="s">
        <v>241</v>
      </c>
      <c r="B27" s="165">
        <v>621</v>
      </c>
      <c r="C27" s="391">
        <v>42934</v>
      </c>
      <c r="D27" s="26" t="s">
        <v>219</v>
      </c>
      <c r="E27" s="26" t="s">
        <v>221</v>
      </c>
      <c r="F27" s="26"/>
      <c r="G27" s="26"/>
      <c r="H27" s="26"/>
      <c r="I27" s="26"/>
      <c r="J27" s="26"/>
      <c r="K27" s="26" t="s">
        <v>221</v>
      </c>
      <c r="L27" s="26"/>
      <c r="M27" s="26"/>
      <c r="N27" s="26"/>
      <c r="O27" s="26"/>
      <c r="P27" s="26"/>
      <c r="Q27" s="26"/>
      <c r="R27" s="26" t="s">
        <v>219</v>
      </c>
      <c r="S27" s="26"/>
      <c r="T27" s="26"/>
      <c r="U27" s="26"/>
      <c r="V27" s="26"/>
      <c r="W27" s="26" t="s">
        <v>221</v>
      </c>
      <c r="X27" s="26"/>
      <c r="Y27" s="26"/>
      <c r="Z27" s="26"/>
      <c r="AA27" s="26" t="s">
        <v>222</v>
      </c>
      <c r="AB27" s="26"/>
      <c r="AC27" s="26"/>
      <c r="AD27" s="26"/>
      <c r="AE27" s="26" t="s">
        <v>221</v>
      </c>
    </row>
    <row r="28" spans="1:31" s="28" customFormat="1" ht="15.75" thickBot="1">
      <c r="A28" s="265" t="s">
        <v>481</v>
      </c>
      <c r="B28" s="165">
        <v>620</v>
      </c>
      <c r="C28" s="391">
        <v>42934</v>
      </c>
      <c r="D28" s="26" t="s">
        <v>219</v>
      </c>
      <c r="E28" s="26" t="s">
        <v>221</v>
      </c>
      <c r="F28" s="26"/>
      <c r="G28" s="26"/>
      <c r="H28" s="26"/>
      <c r="I28" s="26"/>
      <c r="J28" s="26"/>
      <c r="K28" s="26" t="s">
        <v>221</v>
      </c>
      <c r="L28" s="26"/>
      <c r="M28" s="26"/>
      <c r="N28" s="26"/>
      <c r="O28" s="26"/>
      <c r="P28" s="26"/>
      <c r="Q28" s="26"/>
      <c r="R28" s="26" t="s">
        <v>219</v>
      </c>
      <c r="S28" s="26"/>
      <c r="T28" s="26"/>
      <c r="U28" s="26"/>
      <c r="V28" s="26"/>
      <c r="W28" s="26" t="s">
        <v>221</v>
      </c>
      <c r="X28" s="26"/>
      <c r="Y28" s="26"/>
      <c r="Z28" s="26"/>
      <c r="AA28" s="26" t="s">
        <v>222</v>
      </c>
      <c r="AB28" s="26"/>
      <c r="AC28" s="26"/>
      <c r="AD28" s="26" t="s">
        <v>221</v>
      </c>
      <c r="AE28" s="26"/>
    </row>
    <row r="29" spans="1:31" s="28" customFormat="1" ht="15.75" thickBot="1">
      <c r="A29" s="265" t="s">
        <v>482</v>
      </c>
      <c r="B29" s="165">
        <v>757</v>
      </c>
      <c r="C29" s="391">
        <v>42983</v>
      </c>
      <c r="D29" s="26" t="s">
        <v>219</v>
      </c>
      <c r="E29" s="26" t="s">
        <v>221</v>
      </c>
      <c r="F29" s="26"/>
      <c r="G29" s="26"/>
      <c r="H29" s="26"/>
      <c r="I29" s="26"/>
      <c r="J29" s="26"/>
      <c r="K29" s="26" t="s">
        <v>221</v>
      </c>
      <c r="L29" s="26"/>
      <c r="M29" s="26"/>
      <c r="N29" s="26"/>
      <c r="O29" s="26"/>
      <c r="P29" s="26"/>
      <c r="Q29" s="26"/>
      <c r="R29" s="26" t="s">
        <v>219</v>
      </c>
      <c r="S29" s="26"/>
      <c r="T29" s="26"/>
      <c r="U29" s="26"/>
      <c r="V29" s="26"/>
      <c r="W29" s="26" t="s">
        <v>221</v>
      </c>
      <c r="X29" s="26"/>
      <c r="Y29" s="26"/>
      <c r="Z29" s="26"/>
      <c r="AA29" s="26" t="s">
        <v>222</v>
      </c>
      <c r="AB29" s="26"/>
      <c r="AC29" s="26"/>
      <c r="AD29" s="26"/>
      <c r="AE29" s="26" t="s">
        <v>221</v>
      </c>
    </row>
    <row r="30" spans="1:31" s="28" customFormat="1" ht="15.75" thickBot="1">
      <c r="A30" s="265" t="s">
        <v>483</v>
      </c>
      <c r="B30" s="165">
        <v>795</v>
      </c>
      <c r="C30" s="391">
        <v>42999</v>
      </c>
      <c r="D30" s="26" t="s">
        <v>219</v>
      </c>
      <c r="E30" s="26" t="s">
        <v>221</v>
      </c>
      <c r="F30" s="26"/>
      <c r="G30" s="26"/>
      <c r="H30" s="26"/>
      <c r="I30" s="26"/>
      <c r="J30" s="26"/>
      <c r="K30" s="26" t="s">
        <v>221</v>
      </c>
      <c r="L30" s="26"/>
      <c r="M30" s="26"/>
      <c r="N30" s="26"/>
      <c r="O30" s="26"/>
      <c r="P30" s="26"/>
      <c r="Q30" s="26"/>
      <c r="R30" s="26" t="s">
        <v>219</v>
      </c>
      <c r="S30" s="26"/>
      <c r="T30" s="26"/>
      <c r="U30" s="26"/>
      <c r="V30" s="26"/>
      <c r="W30" s="26" t="s">
        <v>221</v>
      </c>
      <c r="X30" s="26"/>
      <c r="Y30" s="26"/>
      <c r="Z30" s="26"/>
      <c r="AA30" s="26" t="s">
        <v>222</v>
      </c>
      <c r="AB30" s="26"/>
      <c r="AC30" s="26"/>
      <c r="AD30" s="26"/>
      <c r="AE30" s="26" t="s">
        <v>221</v>
      </c>
    </row>
    <row r="31" spans="1:31" s="28" customFormat="1" ht="15.75" thickBot="1">
      <c r="A31" s="265" t="s">
        <v>484</v>
      </c>
      <c r="B31" s="165">
        <v>813</v>
      </c>
      <c r="C31" s="391">
        <v>43004</v>
      </c>
      <c r="D31" s="26" t="s">
        <v>219</v>
      </c>
      <c r="E31" s="26" t="s">
        <v>221</v>
      </c>
      <c r="F31" s="26"/>
      <c r="G31" s="26"/>
      <c r="H31" s="26"/>
      <c r="I31" s="26"/>
      <c r="J31" s="26"/>
      <c r="K31" s="26" t="s">
        <v>221</v>
      </c>
      <c r="L31" s="26"/>
      <c r="M31" s="26"/>
      <c r="N31" s="26"/>
      <c r="O31" s="26"/>
      <c r="P31" s="26"/>
      <c r="Q31" s="26"/>
      <c r="R31" s="26" t="s">
        <v>219</v>
      </c>
      <c r="S31" s="26"/>
      <c r="T31" s="26"/>
      <c r="U31" s="26"/>
      <c r="V31" s="26"/>
      <c r="W31" s="26" t="s">
        <v>221</v>
      </c>
      <c r="X31" s="26"/>
      <c r="Y31" s="26"/>
      <c r="Z31" s="26"/>
      <c r="AA31" s="26" t="s">
        <v>222</v>
      </c>
      <c r="AB31" s="26"/>
      <c r="AC31" s="26"/>
      <c r="AD31" s="26" t="s">
        <v>221</v>
      </c>
      <c r="AE31" s="26"/>
    </row>
    <row r="32" spans="1:31" s="28" customFormat="1" ht="15.75" thickBot="1">
      <c r="A32" s="265" t="s">
        <v>485</v>
      </c>
      <c r="B32" s="165">
        <v>812</v>
      </c>
      <c r="C32" s="391">
        <v>43004</v>
      </c>
      <c r="D32" s="26" t="s">
        <v>219</v>
      </c>
      <c r="E32" s="26" t="s">
        <v>221</v>
      </c>
      <c r="F32" s="26"/>
      <c r="G32" s="26"/>
      <c r="H32" s="26"/>
      <c r="I32" s="26"/>
      <c r="J32" s="26"/>
      <c r="K32" s="26" t="s">
        <v>221</v>
      </c>
      <c r="L32" s="26"/>
      <c r="M32" s="26"/>
      <c r="N32" s="26"/>
      <c r="O32" s="26"/>
      <c r="P32" s="26"/>
      <c r="Q32" s="26"/>
      <c r="R32" s="26" t="s">
        <v>219</v>
      </c>
      <c r="S32" s="26"/>
      <c r="T32" s="26"/>
      <c r="U32" s="26"/>
      <c r="V32" s="26"/>
      <c r="W32" s="26" t="s">
        <v>221</v>
      </c>
      <c r="X32" s="26"/>
      <c r="Y32" s="26"/>
      <c r="Z32" s="26"/>
      <c r="AA32" s="26" t="s">
        <v>222</v>
      </c>
      <c r="AB32" s="26"/>
      <c r="AC32" s="26"/>
      <c r="AD32" s="26" t="s">
        <v>221</v>
      </c>
      <c r="AE32" s="26"/>
    </row>
    <row r="33" spans="1:31" s="28" customFormat="1" ht="15.75" thickBot="1">
      <c r="A33" s="265" t="s">
        <v>486</v>
      </c>
      <c r="B33" s="165">
        <v>826</v>
      </c>
      <c r="C33" s="391">
        <v>43011</v>
      </c>
      <c r="D33" s="26" t="s">
        <v>219</v>
      </c>
      <c r="E33" s="26" t="s">
        <v>221</v>
      </c>
      <c r="F33" s="26"/>
      <c r="G33" s="26"/>
      <c r="H33" s="26"/>
      <c r="I33" s="26"/>
      <c r="J33" s="26"/>
      <c r="K33" s="26" t="s">
        <v>221</v>
      </c>
      <c r="L33" s="26"/>
      <c r="M33" s="26"/>
      <c r="N33" s="26"/>
      <c r="O33" s="26"/>
      <c r="P33" s="26"/>
      <c r="Q33" s="26"/>
      <c r="R33" s="26" t="s">
        <v>219</v>
      </c>
      <c r="S33" s="26"/>
      <c r="T33" s="26"/>
      <c r="U33" s="26"/>
      <c r="V33" s="26"/>
      <c r="W33" s="26" t="s">
        <v>221</v>
      </c>
      <c r="X33" s="26"/>
      <c r="Y33" s="26"/>
      <c r="Z33" s="26"/>
      <c r="AA33" s="26" t="s">
        <v>222</v>
      </c>
      <c r="AB33" s="26"/>
      <c r="AC33" s="26"/>
      <c r="AD33" s="26" t="s">
        <v>221</v>
      </c>
      <c r="AE33" s="26"/>
    </row>
    <row r="34" spans="1:31" s="28" customFormat="1" ht="15.75" thickBot="1">
      <c r="A34" s="265" t="s">
        <v>487</v>
      </c>
      <c r="B34" s="165">
        <v>854</v>
      </c>
      <c r="C34" s="391">
        <v>43020</v>
      </c>
      <c r="D34" s="26" t="s">
        <v>219</v>
      </c>
      <c r="E34" s="26" t="s">
        <v>221</v>
      </c>
      <c r="F34" s="26"/>
      <c r="G34" s="26"/>
      <c r="H34" s="26"/>
      <c r="I34" s="26"/>
      <c r="J34" s="26"/>
      <c r="K34" s="26" t="s">
        <v>221</v>
      </c>
      <c r="L34" s="26"/>
      <c r="M34" s="26"/>
      <c r="N34" s="26"/>
      <c r="O34" s="26"/>
      <c r="P34" s="26"/>
      <c r="Q34" s="26"/>
      <c r="R34" s="26" t="s">
        <v>219</v>
      </c>
      <c r="S34" s="26"/>
      <c r="T34" s="26"/>
      <c r="U34" s="26"/>
      <c r="V34" s="26"/>
      <c r="W34" s="26" t="s">
        <v>221</v>
      </c>
      <c r="X34" s="26"/>
      <c r="Y34" s="26"/>
      <c r="Z34" s="26"/>
      <c r="AA34" s="26" t="s">
        <v>222</v>
      </c>
      <c r="AB34" s="26"/>
      <c r="AC34" s="26"/>
      <c r="AD34" s="26"/>
      <c r="AE34" s="26" t="s">
        <v>221</v>
      </c>
    </row>
    <row r="35" spans="1:31" s="28" customFormat="1" ht="15.75" thickBot="1">
      <c r="A35" s="265" t="s">
        <v>488</v>
      </c>
      <c r="B35" s="165">
        <v>855</v>
      </c>
      <c r="C35" s="391">
        <v>43020</v>
      </c>
      <c r="D35" s="26" t="s">
        <v>219</v>
      </c>
      <c r="E35" s="26" t="s">
        <v>221</v>
      </c>
      <c r="F35" s="26"/>
      <c r="G35" s="26"/>
      <c r="H35" s="26"/>
      <c r="I35" s="26"/>
      <c r="J35" s="26"/>
      <c r="K35" s="26" t="s">
        <v>221</v>
      </c>
      <c r="L35" s="26"/>
      <c r="M35" s="26"/>
      <c r="N35" s="26"/>
      <c r="O35" s="26"/>
      <c r="P35" s="26"/>
      <c r="Q35" s="26"/>
      <c r="R35" s="26" t="s">
        <v>219</v>
      </c>
      <c r="S35" s="26"/>
      <c r="T35" s="26"/>
      <c r="U35" s="26"/>
      <c r="V35" s="26"/>
      <c r="W35" s="26" t="s">
        <v>221</v>
      </c>
      <c r="X35" s="26"/>
      <c r="Y35" s="26"/>
      <c r="Z35" s="26"/>
      <c r="AA35" s="26" t="s">
        <v>222</v>
      </c>
      <c r="AB35" s="26"/>
      <c r="AC35" s="26"/>
      <c r="AD35" s="26"/>
      <c r="AE35" s="26" t="s">
        <v>221</v>
      </c>
    </row>
    <row r="36" spans="1:31" s="28" customFormat="1" ht="15.75" thickBot="1">
      <c r="A36" s="265" t="s">
        <v>489</v>
      </c>
      <c r="B36" s="165">
        <v>856</v>
      </c>
      <c r="C36" s="391">
        <v>43020</v>
      </c>
      <c r="D36" s="26" t="s">
        <v>219</v>
      </c>
      <c r="E36" s="26" t="s">
        <v>221</v>
      </c>
      <c r="F36" s="26"/>
      <c r="G36" s="26"/>
      <c r="H36" s="26"/>
      <c r="I36" s="26"/>
      <c r="J36" s="26"/>
      <c r="K36" s="26" t="s">
        <v>221</v>
      </c>
      <c r="L36" s="26"/>
      <c r="M36" s="26"/>
      <c r="N36" s="26"/>
      <c r="O36" s="26"/>
      <c r="P36" s="26"/>
      <c r="Q36" s="26"/>
      <c r="R36" s="26" t="s">
        <v>219</v>
      </c>
      <c r="S36" s="26"/>
      <c r="T36" s="26"/>
      <c r="U36" s="26"/>
      <c r="V36" s="26"/>
      <c r="W36" s="26" t="s">
        <v>221</v>
      </c>
      <c r="X36" s="26"/>
      <c r="Y36" s="26"/>
      <c r="Z36" s="26"/>
      <c r="AA36" s="26" t="s">
        <v>222</v>
      </c>
      <c r="AB36" s="26"/>
      <c r="AC36" s="26"/>
      <c r="AD36" s="26"/>
      <c r="AE36" s="26" t="s">
        <v>221</v>
      </c>
    </row>
    <row r="37" spans="1:31" s="28" customFormat="1" ht="15.75" thickBot="1">
      <c r="A37" s="265" t="s">
        <v>490</v>
      </c>
      <c r="B37" s="165">
        <v>857</v>
      </c>
      <c r="C37" s="391">
        <v>43020</v>
      </c>
      <c r="D37" s="26" t="s">
        <v>219</v>
      </c>
      <c r="E37" s="26" t="s">
        <v>221</v>
      </c>
      <c r="F37" s="26"/>
      <c r="G37" s="26"/>
      <c r="H37" s="26"/>
      <c r="I37" s="26"/>
      <c r="J37" s="26"/>
      <c r="K37" s="26" t="s">
        <v>221</v>
      </c>
      <c r="L37" s="26"/>
      <c r="M37" s="26"/>
      <c r="N37" s="26"/>
      <c r="O37" s="26"/>
      <c r="P37" s="26"/>
      <c r="Q37" s="26"/>
      <c r="R37" s="26" t="s">
        <v>219</v>
      </c>
      <c r="S37" s="26"/>
      <c r="T37" s="26"/>
      <c r="U37" s="26"/>
      <c r="V37" s="26"/>
      <c r="W37" s="26" t="s">
        <v>221</v>
      </c>
      <c r="X37" s="26"/>
      <c r="Y37" s="26"/>
      <c r="Z37" s="26"/>
      <c r="AA37" s="26" t="s">
        <v>222</v>
      </c>
      <c r="AB37" s="26"/>
      <c r="AC37" s="26"/>
      <c r="AD37" s="26"/>
      <c r="AE37" s="26" t="s">
        <v>221</v>
      </c>
    </row>
    <row r="38" spans="1:31" s="28" customFormat="1" ht="15.75" thickBot="1">
      <c r="A38" s="265" t="s">
        <v>491</v>
      </c>
      <c r="B38" s="165">
        <v>858</v>
      </c>
      <c r="C38" s="391">
        <v>43020</v>
      </c>
      <c r="D38" s="26" t="s">
        <v>219</v>
      </c>
      <c r="E38" s="26" t="s">
        <v>221</v>
      </c>
      <c r="F38" s="26"/>
      <c r="G38" s="26"/>
      <c r="H38" s="26"/>
      <c r="I38" s="26"/>
      <c r="J38" s="26"/>
      <c r="K38" s="26" t="s">
        <v>221</v>
      </c>
      <c r="L38" s="26"/>
      <c r="M38" s="26"/>
      <c r="N38" s="26"/>
      <c r="O38" s="26"/>
      <c r="P38" s="26"/>
      <c r="Q38" s="26"/>
      <c r="R38" s="26" t="s">
        <v>219</v>
      </c>
      <c r="S38" s="26"/>
      <c r="T38" s="26"/>
      <c r="U38" s="26"/>
      <c r="V38" s="26"/>
      <c r="W38" s="26" t="s">
        <v>221</v>
      </c>
      <c r="X38" s="26"/>
      <c r="Y38" s="26"/>
      <c r="Z38" s="26"/>
      <c r="AA38" s="26" t="s">
        <v>222</v>
      </c>
      <c r="AB38" s="26"/>
      <c r="AC38" s="26"/>
      <c r="AD38" s="26"/>
      <c r="AE38" s="26" t="s">
        <v>221</v>
      </c>
    </row>
    <row r="39" spans="1:31" s="28" customFormat="1" ht="15.75" thickBot="1">
      <c r="A39" s="265" t="s">
        <v>492</v>
      </c>
      <c r="B39" s="165">
        <v>870</v>
      </c>
      <c r="C39" s="391">
        <v>43025</v>
      </c>
      <c r="D39" s="26" t="s">
        <v>219</v>
      </c>
      <c r="E39" s="26"/>
      <c r="F39" s="26"/>
      <c r="G39" s="26" t="s">
        <v>221</v>
      </c>
      <c r="H39" s="26"/>
      <c r="I39" s="26"/>
      <c r="J39" s="26"/>
      <c r="K39" s="26" t="s">
        <v>221</v>
      </c>
      <c r="L39" s="26"/>
      <c r="M39" s="26"/>
      <c r="N39" s="26"/>
      <c r="O39" s="26"/>
      <c r="P39" s="26"/>
      <c r="Q39" s="26"/>
      <c r="R39" s="26" t="s">
        <v>219</v>
      </c>
      <c r="S39" s="26"/>
      <c r="T39" s="26"/>
      <c r="U39" s="26"/>
      <c r="V39" s="26"/>
      <c r="W39" s="26" t="s">
        <v>221</v>
      </c>
      <c r="X39" s="26"/>
      <c r="Y39" s="26"/>
      <c r="Z39" s="26"/>
      <c r="AA39" s="26" t="s">
        <v>222</v>
      </c>
      <c r="AB39" s="26"/>
      <c r="AC39" s="26"/>
      <c r="AD39" s="26"/>
      <c r="AE39" s="26" t="s">
        <v>221</v>
      </c>
    </row>
    <row r="40" spans="1:31" s="28" customFormat="1" ht="15.75" thickBot="1">
      <c r="A40" s="265" t="s">
        <v>493</v>
      </c>
      <c r="B40" s="165">
        <v>896</v>
      </c>
      <c r="C40" s="391">
        <v>43033</v>
      </c>
      <c r="D40" s="26" t="s">
        <v>219</v>
      </c>
      <c r="E40" s="26"/>
      <c r="F40" s="26"/>
      <c r="G40" s="26" t="s">
        <v>221</v>
      </c>
      <c r="H40" s="26"/>
      <c r="I40" s="26"/>
      <c r="J40" s="26"/>
      <c r="K40" s="26" t="s">
        <v>221</v>
      </c>
      <c r="L40" s="26"/>
      <c r="M40" s="26"/>
      <c r="N40" s="26"/>
      <c r="O40" s="26"/>
      <c r="P40" s="26"/>
      <c r="Q40" s="26"/>
      <c r="R40" s="26" t="s">
        <v>219</v>
      </c>
      <c r="S40" s="26"/>
      <c r="T40" s="26"/>
      <c r="U40" s="26"/>
      <c r="V40" s="26"/>
      <c r="W40" s="26" t="s">
        <v>221</v>
      </c>
      <c r="X40" s="26"/>
      <c r="Y40" s="26"/>
      <c r="Z40" s="26"/>
      <c r="AA40" s="26" t="s">
        <v>222</v>
      </c>
      <c r="AB40" s="26"/>
      <c r="AC40" s="26"/>
      <c r="AD40" s="26"/>
      <c r="AE40" s="26" t="s">
        <v>221</v>
      </c>
    </row>
    <row r="41" spans="1:31" s="28" customFormat="1" ht="15.75" thickBot="1">
      <c r="A41" s="265" t="s">
        <v>494</v>
      </c>
      <c r="B41" s="165">
        <v>947</v>
      </c>
      <c r="C41" s="391">
        <v>43052</v>
      </c>
      <c r="D41" s="26" t="s">
        <v>219</v>
      </c>
      <c r="E41" s="26" t="s">
        <v>221</v>
      </c>
      <c r="F41" s="26"/>
      <c r="G41" s="26"/>
      <c r="H41" s="26"/>
      <c r="I41" s="26"/>
      <c r="J41" s="26"/>
      <c r="K41" s="26" t="s">
        <v>221</v>
      </c>
      <c r="L41" s="26"/>
      <c r="M41" s="26"/>
      <c r="N41" s="26"/>
      <c r="O41" s="26"/>
      <c r="P41" s="26"/>
      <c r="Q41" s="26"/>
      <c r="R41" s="26" t="s">
        <v>219</v>
      </c>
      <c r="S41" s="26"/>
      <c r="T41" s="26"/>
      <c r="U41" s="26"/>
      <c r="V41" s="26"/>
      <c r="W41" s="26" t="s">
        <v>221</v>
      </c>
      <c r="X41" s="26"/>
      <c r="Y41" s="26"/>
      <c r="Z41" s="26"/>
      <c r="AA41" s="26" t="s">
        <v>222</v>
      </c>
      <c r="AB41" s="26"/>
      <c r="AC41" s="26"/>
      <c r="AD41" s="26"/>
      <c r="AE41" s="26" t="s">
        <v>221</v>
      </c>
    </row>
    <row r="42" spans="1:31" s="28" customFormat="1" ht="15.75" thickBot="1">
      <c r="A42" s="265" t="s">
        <v>495</v>
      </c>
      <c r="B42" s="165">
        <v>976</v>
      </c>
      <c r="C42" s="391">
        <v>43059</v>
      </c>
      <c r="D42" s="26" t="s">
        <v>219</v>
      </c>
      <c r="E42" s="26" t="s">
        <v>221</v>
      </c>
      <c r="F42" s="26"/>
      <c r="G42" s="26"/>
      <c r="H42" s="26"/>
      <c r="I42" s="26"/>
      <c r="J42" s="26"/>
      <c r="K42" s="26" t="s">
        <v>221</v>
      </c>
      <c r="L42" s="26"/>
      <c r="M42" s="26"/>
      <c r="N42" s="26"/>
      <c r="O42" s="26"/>
      <c r="P42" s="26"/>
      <c r="Q42" s="26"/>
      <c r="R42" s="26" t="s">
        <v>219</v>
      </c>
      <c r="S42" s="26"/>
      <c r="T42" s="26"/>
      <c r="U42" s="26"/>
      <c r="V42" s="26"/>
      <c r="W42" s="26" t="s">
        <v>221</v>
      </c>
      <c r="X42" s="26"/>
      <c r="Y42" s="26"/>
      <c r="Z42" s="26"/>
      <c r="AA42" s="26" t="s">
        <v>222</v>
      </c>
      <c r="AB42" s="26"/>
      <c r="AC42" s="26"/>
      <c r="AD42" s="26"/>
      <c r="AE42" s="26" t="s">
        <v>221</v>
      </c>
    </row>
    <row r="43" spans="1:31" s="28" customFormat="1" ht="15.75" thickBot="1">
      <c r="A43" s="265" t="s">
        <v>496</v>
      </c>
      <c r="B43" s="165">
        <v>979</v>
      </c>
      <c r="C43" s="391">
        <v>43060</v>
      </c>
      <c r="D43" s="26" t="s">
        <v>219</v>
      </c>
      <c r="E43" s="26" t="s">
        <v>221</v>
      </c>
      <c r="F43" s="26"/>
      <c r="G43" s="26"/>
      <c r="H43" s="26"/>
      <c r="I43" s="26"/>
      <c r="J43" s="26"/>
      <c r="K43" s="26" t="s">
        <v>221</v>
      </c>
      <c r="L43" s="26"/>
      <c r="M43" s="26"/>
      <c r="N43" s="26"/>
      <c r="O43" s="26"/>
      <c r="P43" s="26"/>
      <c r="Q43" s="26"/>
      <c r="R43" s="26" t="s">
        <v>219</v>
      </c>
      <c r="S43" s="26"/>
      <c r="T43" s="26"/>
      <c r="U43" s="26"/>
      <c r="V43" s="26"/>
      <c r="W43" s="26" t="s">
        <v>221</v>
      </c>
      <c r="X43" s="26"/>
      <c r="Y43" s="26"/>
      <c r="Z43" s="26"/>
      <c r="AA43" s="26" t="s">
        <v>222</v>
      </c>
      <c r="AB43" s="26"/>
      <c r="AC43" s="26"/>
      <c r="AD43" s="26"/>
      <c r="AE43" s="26" t="s">
        <v>221</v>
      </c>
    </row>
    <row r="44" spans="1:31" s="28" customFormat="1" ht="15.75" thickBot="1">
      <c r="A44" s="265" t="s">
        <v>497</v>
      </c>
      <c r="B44" s="165">
        <v>1010</v>
      </c>
      <c r="C44" s="391">
        <v>43070</v>
      </c>
      <c r="D44" s="26" t="s">
        <v>219</v>
      </c>
      <c r="E44" s="26" t="s">
        <v>221</v>
      </c>
      <c r="F44" s="26"/>
      <c r="G44" s="26"/>
      <c r="H44" s="26"/>
      <c r="I44" s="26"/>
      <c r="J44" s="26"/>
      <c r="K44" s="26" t="s">
        <v>221</v>
      </c>
      <c r="L44" s="26"/>
      <c r="M44" s="26"/>
      <c r="N44" s="26"/>
      <c r="O44" s="26"/>
      <c r="P44" s="26"/>
      <c r="Q44" s="26"/>
      <c r="R44" s="26" t="s">
        <v>219</v>
      </c>
      <c r="S44" s="26"/>
      <c r="T44" s="26"/>
      <c r="U44" s="26"/>
      <c r="V44" s="26"/>
      <c r="W44" s="26" t="s">
        <v>221</v>
      </c>
      <c r="X44" s="26"/>
      <c r="Y44" s="26"/>
      <c r="Z44" s="26"/>
      <c r="AA44" s="26" t="s">
        <v>222</v>
      </c>
      <c r="AB44" s="26"/>
      <c r="AC44" s="26"/>
      <c r="AD44" s="26"/>
      <c r="AE44" s="26" t="s">
        <v>221</v>
      </c>
    </row>
    <row r="45" spans="1:31" s="28" customFormat="1" ht="15.75" thickBot="1">
      <c r="A45" s="265" t="s">
        <v>498</v>
      </c>
      <c r="B45" s="165">
        <v>1007</v>
      </c>
      <c r="C45" s="391">
        <v>43069</v>
      </c>
      <c r="D45" s="26" t="s">
        <v>219</v>
      </c>
      <c r="E45" s="26"/>
      <c r="F45" s="26"/>
      <c r="G45" s="26" t="s">
        <v>221</v>
      </c>
      <c r="H45" s="26"/>
      <c r="I45" s="26"/>
      <c r="J45" s="26"/>
      <c r="K45" s="26" t="s">
        <v>221</v>
      </c>
      <c r="L45" s="26"/>
      <c r="M45" s="26"/>
      <c r="N45" s="26"/>
      <c r="O45" s="26"/>
      <c r="P45" s="26"/>
      <c r="Q45" s="26"/>
      <c r="R45" s="26" t="s">
        <v>219</v>
      </c>
      <c r="S45" s="26"/>
      <c r="T45" s="26"/>
      <c r="U45" s="26"/>
      <c r="V45" s="26"/>
      <c r="W45" s="26" t="s">
        <v>221</v>
      </c>
      <c r="X45" s="26"/>
      <c r="Y45" s="26"/>
      <c r="Z45" s="26"/>
      <c r="AA45" s="26" t="s">
        <v>222</v>
      </c>
      <c r="AB45" s="26"/>
      <c r="AC45" s="26"/>
      <c r="AD45" s="26"/>
      <c r="AE45" s="26" t="s">
        <v>221</v>
      </c>
    </row>
    <row r="46" spans="1:31" s="28" customFormat="1" ht="15.75" thickBot="1">
      <c r="A46" s="265" t="s">
        <v>499</v>
      </c>
      <c r="B46" s="165">
        <v>1062</v>
      </c>
      <c r="C46" s="391">
        <v>43087</v>
      </c>
      <c r="D46" s="26" t="s">
        <v>219</v>
      </c>
      <c r="E46" s="26"/>
      <c r="F46" s="26"/>
      <c r="G46" s="26" t="s">
        <v>221</v>
      </c>
      <c r="H46" s="26"/>
      <c r="I46" s="26"/>
      <c r="J46" s="26"/>
      <c r="K46" s="26" t="s">
        <v>221</v>
      </c>
      <c r="L46" s="26"/>
      <c r="M46" s="26"/>
      <c r="N46" s="26"/>
      <c r="O46" s="26"/>
      <c r="P46" s="26"/>
      <c r="Q46" s="26"/>
      <c r="R46" s="26" t="s">
        <v>219</v>
      </c>
      <c r="S46" s="26"/>
      <c r="T46" s="26"/>
      <c r="U46" s="26"/>
      <c r="V46" s="26"/>
      <c r="W46" s="26" t="s">
        <v>221</v>
      </c>
      <c r="X46" s="26"/>
      <c r="Y46" s="26"/>
      <c r="Z46" s="26"/>
      <c r="AA46" s="26" t="s">
        <v>222</v>
      </c>
      <c r="AB46" s="26"/>
      <c r="AC46" s="26"/>
      <c r="AD46" s="26" t="s">
        <v>221</v>
      </c>
      <c r="AE46" s="26"/>
    </row>
    <row r="47" spans="1:31" s="28" customFormat="1" ht="15.75" thickBot="1">
      <c r="A47" s="265" t="s">
        <v>500</v>
      </c>
      <c r="B47" s="165">
        <v>1070</v>
      </c>
      <c r="C47" s="391">
        <v>43089</v>
      </c>
      <c r="D47" s="26" t="s">
        <v>219</v>
      </c>
      <c r="E47" s="26" t="s">
        <v>221</v>
      </c>
      <c r="F47" s="26"/>
      <c r="G47" s="26"/>
      <c r="H47" s="26"/>
      <c r="I47" s="26"/>
      <c r="J47" s="26"/>
      <c r="K47" s="26" t="s">
        <v>221</v>
      </c>
      <c r="L47" s="26"/>
      <c r="M47" s="26"/>
      <c r="N47" s="26"/>
      <c r="O47" s="26"/>
      <c r="P47" s="26"/>
      <c r="Q47" s="26"/>
      <c r="R47" s="26" t="s">
        <v>219</v>
      </c>
      <c r="S47" s="26"/>
      <c r="T47" s="26"/>
      <c r="U47" s="26"/>
      <c r="V47" s="26"/>
      <c r="W47" s="26" t="s">
        <v>221</v>
      </c>
      <c r="X47" s="26"/>
      <c r="Y47" s="26"/>
      <c r="Z47" s="26"/>
      <c r="AA47" s="26" t="s">
        <v>222</v>
      </c>
      <c r="AB47" s="26"/>
      <c r="AC47" s="26"/>
      <c r="AD47" s="26"/>
      <c r="AE47" s="26" t="s">
        <v>221</v>
      </c>
    </row>
    <row r="48" spans="1:31" s="28" customFormat="1" ht="15.75" thickBot="1">
      <c r="A48" s="265" t="s">
        <v>501</v>
      </c>
      <c r="B48" s="165">
        <v>1078</v>
      </c>
      <c r="C48" s="391">
        <v>43094</v>
      </c>
      <c r="D48" s="26" t="s">
        <v>219</v>
      </c>
      <c r="E48" s="26"/>
      <c r="F48" s="26"/>
      <c r="G48" s="26" t="s">
        <v>221</v>
      </c>
      <c r="H48" s="26"/>
      <c r="I48" s="26"/>
      <c r="J48" s="26"/>
      <c r="K48" s="26" t="s">
        <v>221</v>
      </c>
      <c r="L48" s="26"/>
      <c r="M48" s="26"/>
      <c r="N48" s="26"/>
      <c r="O48" s="26"/>
      <c r="P48" s="26"/>
      <c r="Q48" s="26"/>
      <c r="R48" s="26" t="s">
        <v>219</v>
      </c>
      <c r="S48" s="26"/>
      <c r="T48" s="26"/>
      <c r="U48" s="26"/>
      <c r="V48" s="26"/>
      <c r="W48" s="26" t="s">
        <v>221</v>
      </c>
      <c r="X48" s="26"/>
      <c r="Y48" s="26"/>
      <c r="Z48" s="26"/>
      <c r="AA48" s="26" t="s">
        <v>222</v>
      </c>
      <c r="AB48" s="26"/>
      <c r="AC48" s="26"/>
      <c r="AD48" s="26"/>
      <c r="AE48" s="26" t="s">
        <v>221</v>
      </c>
    </row>
    <row r="49" spans="1:31" s="127" customFormat="1" ht="24.75" customHeight="1" thickBot="1">
      <c r="A49" s="431"/>
      <c r="B49" s="738" t="s">
        <v>224</v>
      </c>
      <c r="C49" s="739"/>
      <c r="D49" s="739"/>
      <c r="E49" s="739"/>
      <c r="F49" s="739"/>
      <c r="G49" s="739"/>
      <c r="H49" s="739"/>
      <c r="I49" s="739"/>
      <c r="J49" s="740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</row>
    <row r="50" spans="1:31" s="131" customFormat="1" ht="15.75" thickBot="1">
      <c r="A50" s="443">
        <v>1</v>
      </c>
      <c r="B50" s="433">
        <v>48</v>
      </c>
      <c r="C50" s="434" t="s">
        <v>731</v>
      </c>
      <c r="D50" s="444" t="s">
        <v>220</v>
      </c>
      <c r="E50" s="444" t="s">
        <v>221</v>
      </c>
      <c r="F50" s="444"/>
      <c r="G50" s="444"/>
      <c r="H50" s="444"/>
      <c r="I50" s="444"/>
      <c r="J50" s="444"/>
      <c r="K50" s="444" t="s">
        <v>221</v>
      </c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 t="s">
        <v>221</v>
      </c>
      <c r="X50" s="444"/>
      <c r="Y50" s="444"/>
      <c r="Z50" s="444"/>
      <c r="AA50" s="444" t="s">
        <v>222</v>
      </c>
      <c r="AB50" s="444"/>
      <c r="AC50" s="444"/>
      <c r="AD50" s="444" t="s">
        <v>222</v>
      </c>
      <c r="AE50" s="444"/>
    </row>
    <row r="51" spans="1:31" s="131" customFormat="1" ht="15.75" thickBot="1">
      <c r="A51" s="443">
        <f>A50+1</f>
        <v>2</v>
      </c>
      <c r="B51" s="433">
        <v>71</v>
      </c>
      <c r="C51" s="434" t="s">
        <v>732</v>
      </c>
      <c r="D51" s="444" t="s">
        <v>219</v>
      </c>
      <c r="E51" s="444" t="s">
        <v>221</v>
      </c>
      <c r="F51" s="444"/>
      <c r="G51" s="444"/>
      <c r="H51" s="444"/>
      <c r="I51" s="444"/>
      <c r="J51" s="444"/>
      <c r="K51" s="444" t="s">
        <v>221</v>
      </c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 t="s">
        <v>221</v>
      </c>
      <c r="X51" s="444"/>
      <c r="Y51" s="444"/>
      <c r="Z51" s="444"/>
      <c r="AA51" s="444" t="s">
        <v>222</v>
      </c>
      <c r="AB51" s="444"/>
      <c r="AC51" s="444"/>
      <c r="AD51" s="444" t="s">
        <v>222</v>
      </c>
      <c r="AE51" s="444"/>
    </row>
    <row r="52" spans="1:31" s="131" customFormat="1" ht="15.75" thickBot="1">
      <c r="A52" s="443">
        <f aca="true" t="shared" si="0" ref="A52:A115">A51+1</f>
        <v>3</v>
      </c>
      <c r="B52" s="433">
        <v>82</v>
      </c>
      <c r="C52" s="435">
        <v>42782</v>
      </c>
      <c r="D52" s="444" t="s">
        <v>219</v>
      </c>
      <c r="E52" s="444" t="s">
        <v>221</v>
      </c>
      <c r="F52" s="444"/>
      <c r="G52" s="444"/>
      <c r="H52" s="444"/>
      <c r="I52" s="444"/>
      <c r="J52" s="444"/>
      <c r="K52" s="444" t="s">
        <v>221</v>
      </c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 t="s">
        <v>221</v>
      </c>
      <c r="X52" s="444"/>
      <c r="Y52" s="444"/>
      <c r="Z52" s="444"/>
      <c r="AA52" s="444" t="s">
        <v>222</v>
      </c>
      <c r="AB52" s="444"/>
      <c r="AC52" s="444"/>
      <c r="AD52" s="444" t="s">
        <v>222</v>
      </c>
      <c r="AE52" s="444"/>
    </row>
    <row r="53" spans="1:31" s="131" customFormat="1" ht="15.75" thickBot="1">
      <c r="A53" s="443">
        <f t="shared" si="0"/>
        <v>4</v>
      </c>
      <c r="B53" s="433">
        <v>84</v>
      </c>
      <c r="C53" s="435">
        <v>42783</v>
      </c>
      <c r="D53" s="444" t="s">
        <v>219</v>
      </c>
      <c r="E53" s="444"/>
      <c r="F53" s="444"/>
      <c r="G53" s="444"/>
      <c r="H53" s="444" t="s">
        <v>221</v>
      </c>
      <c r="I53" s="444"/>
      <c r="J53" s="444"/>
      <c r="K53" s="444" t="s">
        <v>221</v>
      </c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 t="s">
        <v>221</v>
      </c>
      <c r="X53" s="444"/>
      <c r="Y53" s="444"/>
      <c r="Z53" s="444"/>
      <c r="AA53" s="444" t="s">
        <v>222</v>
      </c>
      <c r="AB53" s="444"/>
      <c r="AC53" s="444"/>
      <c r="AD53" s="444" t="s">
        <v>222</v>
      </c>
      <c r="AE53" s="444"/>
    </row>
    <row r="54" spans="1:31" s="131" customFormat="1" ht="15.75" thickBot="1">
      <c r="A54" s="443">
        <f t="shared" si="0"/>
        <v>5</v>
      </c>
      <c r="B54" s="433">
        <v>98</v>
      </c>
      <c r="C54" s="435">
        <v>42788</v>
      </c>
      <c r="D54" s="444" t="s">
        <v>219</v>
      </c>
      <c r="E54" s="444" t="s">
        <v>221</v>
      </c>
      <c r="F54" s="444"/>
      <c r="G54" s="444"/>
      <c r="H54" s="444"/>
      <c r="I54" s="444"/>
      <c r="J54" s="444"/>
      <c r="K54" s="444" t="s">
        <v>221</v>
      </c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 t="s">
        <v>221</v>
      </c>
      <c r="X54" s="444"/>
      <c r="Y54" s="444"/>
      <c r="Z54" s="444"/>
      <c r="AA54" s="444" t="s">
        <v>222</v>
      </c>
      <c r="AB54" s="444"/>
      <c r="AC54" s="444"/>
      <c r="AD54" s="444" t="s">
        <v>222</v>
      </c>
      <c r="AE54" s="444"/>
    </row>
    <row r="55" spans="1:31" s="131" customFormat="1" ht="15.75" thickBot="1">
      <c r="A55" s="443">
        <f t="shared" si="0"/>
        <v>6</v>
      </c>
      <c r="B55" s="433">
        <v>91</v>
      </c>
      <c r="C55" s="435">
        <v>42786</v>
      </c>
      <c r="D55" s="444" t="s">
        <v>219</v>
      </c>
      <c r="E55" s="444" t="s">
        <v>221</v>
      </c>
      <c r="F55" s="444"/>
      <c r="G55" s="444"/>
      <c r="H55" s="444"/>
      <c r="I55" s="444"/>
      <c r="J55" s="444"/>
      <c r="K55" s="444" t="s">
        <v>221</v>
      </c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 t="s">
        <v>221</v>
      </c>
      <c r="X55" s="444"/>
      <c r="Y55" s="444"/>
      <c r="Z55" s="444"/>
      <c r="AA55" s="444" t="s">
        <v>222</v>
      </c>
      <c r="AB55" s="444"/>
      <c r="AC55" s="444"/>
      <c r="AD55" s="444" t="s">
        <v>222</v>
      </c>
      <c r="AE55" s="444"/>
    </row>
    <row r="56" spans="1:31" s="131" customFormat="1" ht="15.75" thickBot="1">
      <c r="A56" s="443">
        <f t="shared" si="0"/>
        <v>7</v>
      </c>
      <c r="B56" s="433">
        <v>143</v>
      </c>
      <c r="C56" s="435">
        <v>42814</v>
      </c>
      <c r="D56" s="444" t="s">
        <v>219</v>
      </c>
      <c r="E56" s="444" t="s">
        <v>221</v>
      </c>
      <c r="F56" s="444"/>
      <c r="G56" s="444"/>
      <c r="H56" s="445"/>
      <c r="I56" s="444"/>
      <c r="J56" s="444"/>
      <c r="K56" s="444" t="s">
        <v>221</v>
      </c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 t="s">
        <v>221</v>
      </c>
      <c r="X56" s="444"/>
      <c r="Y56" s="444"/>
      <c r="Z56" s="444"/>
      <c r="AA56" s="444" t="s">
        <v>222</v>
      </c>
      <c r="AB56" s="444"/>
      <c r="AC56" s="444"/>
      <c r="AD56" s="444" t="s">
        <v>222</v>
      </c>
      <c r="AE56" s="444"/>
    </row>
    <row r="57" spans="1:31" s="131" customFormat="1" ht="15.75" thickBot="1">
      <c r="A57" s="443">
        <f t="shared" si="0"/>
        <v>8</v>
      </c>
      <c r="B57" s="433">
        <v>159</v>
      </c>
      <c r="C57" s="435">
        <v>42822</v>
      </c>
      <c r="D57" s="444" t="s">
        <v>219</v>
      </c>
      <c r="E57" s="444" t="s">
        <v>221</v>
      </c>
      <c r="F57" s="444"/>
      <c r="G57" s="444"/>
      <c r="H57" s="444"/>
      <c r="I57" s="444"/>
      <c r="J57" s="444"/>
      <c r="K57" s="444" t="s">
        <v>221</v>
      </c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 t="s">
        <v>221</v>
      </c>
      <c r="X57" s="444"/>
      <c r="Y57" s="444"/>
      <c r="Z57" s="444"/>
      <c r="AA57" s="444" t="s">
        <v>222</v>
      </c>
      <c r="AB57" s="444"/>
      <c r="AC57" s="444"/>
      <c r="AD57" s="444" t="s">
        <v>222</v>
      </c>
      <c r="AE57" s="444"/>
    </row>
    <row r="58" spans="1:31" s="131" customFormat="1" ht="15.75" thickBot="1">
      <c r="A58" s="443">
        <f t="shared" si="0"/>
        <v>9</v>
      </c>
      <c r="B58" s="436">
        <v>196</v>
      </c>
      <c r="C58" s="437">
        <v>42835</v>
      </c>
      <c r="D58" s="444" t="s">
        <v>219</v>
      </c>
      <c r="E58" s="444"/>
      <c r="F58" s="444"/>
      <c r="G58" s="444"/>
      <c r="H58" s="444" t="s">
        <v>221</v>
      </c>
      <c r="I58" s="444"/>
      <c r="J58" s="444"/>
      <c r="K58" s="444" t="s">
        <v>221</v>
      </c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 t="s">
        <v>221</v>
      </c>
      <c r="X58" s="444"/>
      <c r="Y58" s="444"/>
      <c r="Z58" s="444"/>
      <c r="AA58" s="444" t="s">
        <v>222</v>
      </c>
      <c r="AB58" s="444"/>
      <c r="AC58" s="444"/>
      <c r="AD58" s="444" t="s">
        <v>222</v>
      </c>
      <c r="AE58" s="444"/>
    </row>
    <row r="59" spans="1:31" s="131" customFormat="1" ht="15.75" thickBot="1">
      <c r="A59" s="443">
        <f t="shared" si="0"/>
        <v>10</v>
      </c>
      <c r="B59" s="433">
        <v>199</v>
      </c>
      <c r="C59" s="435">
        <v>42835</v>
      </c>
      <c r="D59" s="444" t="s">
        <v>219</v>
      </c>
      <c r="E59" s="444"/>
      <c r="F59" s="444"/>
      <c r="G59" s="444"/>
      <c r="H59" s="444" t="s">
        <v>221</v>
      </c>
      <c r="I59" s="444"/>
      <c r="J59" s="444"/>
      <c r="K59" s="444" t="s">
        <v>221</v>
      </c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 t="s">
        <v>221</v>
      </c>
      <c r="X59" s="444"/>
      <c r="Y59" s="444"/>
      <c r="Z59" s="444"/>
      <c r="AA59" s="444" t="s">
        <v>222</v>
      </c>
      <c r="AB59" s="444"/>
      <c r="AC59" s="444"/>
      <c r="AD59" s="444" t="s">
        <v>222</v>
      </c>
      <c r="AE59" s="444"/>
    </row>
    <row r="60" spans="1:31" s="131" customFormat="1" ht="15.75" thickBot="1">
      <c r="A60" s="443">
        <f t="shared" si="0"/>
        <v>11</v>
      </c>
      <c r="B60" s="433">
        <v>226</v>
      </c>
      <c r="C60" s="435">
        <v>42858</v>
      </c>
      <c r="D60" s="444" t="s">
        <v>219</v>
      </c>
      <c r="E60" s="444" t="s">
        <v>221</v>
      </c>
      <c r="F60" s="444"/>
      <c r="G60" s="444"/>
      <c r="H60" s="444"/>
      <c r="I60" s="444"/>
      <c r="J60" s="444"/>
      <c r="K60" s="444" t="s">
        <v>221</v>
      </c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 t="s">
        <v>221</v>
      </c>
      <c r="X60" s="444"/>
      <c r="Y60" s="444"/>
      <c r="Z60" s="444"/>
      <c r="AA60" s="444" t="s">
        <v>222</v>
      </c>
      <c r="AB60" s="444"/>
      <c r="AC60" s="444"/>
      <c r="AD60" s="444" t="s">
        <v>222</v>
      </c>
      <c r="AE60" s="444"/>
    </row>
    <row r="61" spans="1:31" s="131" customFormat="1" ht="15.75" thickBot="1">
      <c r="A61" s="443">
        <f t="shared" si="0"/>
        <v>12</v>
      </c>
      <c r="B61" s="433">
        <v>242</v>
      </c>
      <c r="C61" s="435">
        <v>42865</v>
      </c>
      <c r="D61" s="444" t="s">
        <v>219</v>
      </c>
      <c r="E61" s="444" t="s">
        <v>221</v>
      </c>
      <c r="F61" s="444"/>
      <c r="G61" s="444"/>
      <c r="H61" s="444"/>
      <c r="I61" s="444"/>
      <c r="J61" s="444"/>
      <c r="K61" s="444" t="s">
        <v>221</v>
      </c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 t="s">
        <v>221</v>
      </c>
      <c r="X61" s="444"/>
      <c r="Y61" s="444"/>
      <c r="Z61" s="444"/>
      <c r="AA61" s="444" t="s">
        <v>222</v>
      </c>
      <c r="AB61" s="444"/>
      <c r="AC61" s="444"/>
      <c r="AD61" s="444" t="s">
        <v>222</v>
      </c>
      <c r="AE61" s="444"/>
    </row>
    <row r="62" spans="1:31" s="131" customFormat="1" ht="15.75" thickBot="1">
      <c r="A62" s="443">
        <f t="shared" si="0"/>
        <v>13</v>
      </c>
      <c r="B62" s="433">
        <v>263</v>
      </c>
      <c r="C62" s="435">
        <v>42874</v>
      </c>
      <c r="D62" s="444" t="s">
        <v>219</v>
      </c>
      <c r="E62" s="444"/>
      <c r="F62" s="444"/>
      <c r="G62" s="444"/>
      <c r="H62" s="444" t="s">
        <v>221</v>
      </c>
      <c r="I62" s="444"/>
      <c r="J62" s="444"/>
      <c r="K62" s="444" t="s">
        <v>221</v>
      </c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 t="s">
        <v>221</v>
      </c>
      <c r="X62" s="444"/>
      <c r="Y62" s="444"/>
      <c r="Z62" s="444"/>
      <c r="AA62" s="444" t="s">
        <v>222</v>
      </c>
      <c r="AB62" s="444"/>
      <c r="AC62" s="444"/>
      <c r="AD62" s="444" t="s">
        <v>222</v>
      </c>
      <c r="AE62" s="444"/>
    </row>
    <row r="63" spans="1:31" s="131" customFormat="1" ht="15.75" thickBot="1">
      <c r="A63" s="443">
        <f t="shared" si="0"/>
        <v>14</v>
      </c>
      <c r="B63" s="433">
        <v>283</v>
      </c>
      <c r="C63" s="435">
        <v>42881</v>
      </c>
      <c r="D63" s="444" t="s">
        <v>220</v>
      </c>
      <c r="E63" s="444" t="s">
        <v>221</v>
      </c>
      <c r="F63" s="444"/>
      <c r="G63" s="444"/>
      <c r="H63" s="444"/>
      <c r="I63" s="444"/>
      <c r="J63" s="444"/>
      <c r="K63" s="444" t="s">
        <v>221</v>
      </c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 t="s">
        <v>221</v>
      </c>
      <c r="X63" s="444"/>
      <c r="Y63" s="444"/>
      <c r="Z63" s="444"/>
      <c r="AA63" s="444" t="s">
        <v>222</v>
      </c>
      <c r="AB63" s="444"/>
      <c r="AC63" s="444"/>
      <c r="AD63" s="444" t="s">
        <v>222</v>
      </c>
      <c r="AE63" s="444"/>
    </row>
    <row r="64" spans="1:31" s="131" customFormat="1" ht="15.75" thickBot="1">
      <c r="A64" s="443">
        <f t="shared" si="0"/>
        <v>15</v>
      </c>
      <c r="B64" s="433">
        <v>294</v>
      </c>
      <c r="C64" s="435">
        <v>42885</v>
      </c>
      <c r="D64" s="444" t="s">
        <v>219</v>
      </c>
      <c r="E64" s="444" t="s">
        <v>221</v>
      </c>
      <c r="F64" s="444"/>
      <c r="G64" s="444"/>
      <c r="H64" s="444"/>
      <c r="I64" s="444"/>
      <c r="J64" s="444"/>
      <c r="K64" s="444" t="s">
        <v>221</v>
      </c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 t="s">
        <v>221</v>
      </c>
      <c r="X64" s="444"/>
      <c r="Y64" s="444"/>
      <c r="Z64" s="444"/>
      <c r="AA64" s="444" t="s">
        <v>222</v>
      </c>
      <c r="AB64" s="444"/>
      <c r="AC64" s="444"/>
      <c r="AD64" s="444" t="s">
        <v>222</v>
      </c>
      <c r="AE64" s="444"/>
    </row>
    <row r="65" spans="1:31" s="131" customFormat="1" ht="15.75" thickBot="1">
      <c r="A65" s="443">
        <f t="shared" si="0"/>
        <v>16</v>
      </c>
      <c r="B65" s="433">
        <v>287</v>
      </c>
      <c r="C65" s="435">
        <v>42884</v>
      </c>
      <c r="D65" s="444" t="s">
        <v>219</v>
      </c>
      <c r="E65" s="444" t="s">
        <v>221</v>
      </c>
      <c r="F65" s="444"/>
      <c r="G65" s="444"/>
      <c r="H65" s="444"/>
      <c r="I65" s="444"/>
      <c r="J65" s="444"/>
      <c r="K65" s="444" t="s">
        <v>221</v>
      </c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 t="s">
        <v>221</v>
      </c>
      <c r="X65" s="444"/>
      <c r="Y65" s="444"/>
      <c r="Z65" s="444"/>
      <c r="AA65" s="444" t="s">
        <v>222</v>
      </c>
      <c r="AB65" s="444"/>
      <c r="AC65" s="444"/>
      <c r="AD65" s="444" t="s">
        <v>222</v>
      </c>
      <c r="AE65" s="444"/>
    </row>
    <row r="66" spans="1:31" s="131" customFormat="1" ht="15.75" thickBot="1">
      <c r="A66" s="443">
        <f t="shared" si="0"/>
        <v>17</v>
      </c>
      <c r="B66" s="433">
        <v>295</v>
      </c>
      <c r="C66" s="435">
        <v>42884</v>
      </c>
      <c r="D66" s="444" t="s">
        <v>219</v>
      </c>
      <c r="E66" s="444" t="s">
        <v>221</v>
      </c>
      <c r="F66" s="444"/>
      <c r="G66" s="444"/>
      <c r="H66" s="444"/>
      <c r="I66" s="444"/>
      <c r="J66" s="444"/>
      <c r="K66" s="444" t="s">
        <v>221</v>
      </c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4" t="s">
        <v>221</v>
      </c>
      <c r="X66" s="444"/>
      <c r="Y66" s="444"/>
      <c r="Z66" s="444"/>
      <c r="AA66" s="444" t="s">
        <v>222</v>
      </c>
      <c r="AB66" s="444"/>
      <c r="AC66" s="444"/>
      <c r="AD66" s="444" t="s">
        <v>222</v>
      </c>
      <c r="AE66" s="444"/>
    </row>
    <row r="67" spans="1:31" s="131" customFormat="1" ht="15.75" thickBot="1">
      <c r="A67" s="443">
        <f t="shared" si="0"/>
        <v>18</v>
      </c>
      <c r="B67" s="433" t="s">
        <v>733</v>
      </c>
      <c r="C67" s="435">
        <v>42888</v>
      </c>
      <c r="D67" s="444" t="s">
        <v>219</v>
      </c>
      <c r="E67" s="444" t="s">
        <v>221</v>
      </c>
      <c r="F67" s="444"/>
      <c r="G67" s="444"/>
      <c r="H67" s="444"/>
      <c r="I67" s="444"/>
      <c r="J67" s="444"/>
      <c r="K67" s="444" t="s">
        <v>221</v>
      </c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4" t="s">
        <v>221</v>
      </c>
      <c r="X67" s="444"/>
      <c r="Y67" s="444"/>
      <c r="Z67" s="444"/>
      <c r="AA67" s="444" t="s">
        <v>222</v>
      </c>
      <c r="AB67" s="444"/>
      <c r="AC67" s="444"/>
      <c r="AD67" s="444" t="s">
        <v>222</v>
      </c>
      <c r="AE67" s="444"/>
    </row>
    <row r="68" spans="1:31" s="131" customFormat="1" ht="15.75" thickBot="1">
      <c r="A68" s="443">
        <f t="shared" si="0"/>
        <v>19</v>
      </c>
      <c r="B68" s="433">
        <v>316</v>
      </c>
      <c r="C68" s="435">
        <v>42905</v>
      </c>
      <c r="D68" s="444" t="s">
        <v>219</v>
      </c>
      <c r="E68" s="444" t="s">
        <v>221</v>
      </c>
      <c r="F68" s="444"/>
      <c r="G68" s="444"/>
      <c r="H68" s="444"/>
      <c r="I68" s="444"/>
      <c r="J68" s="444"/>
      <c r="K68" s="444" t="s">
        <v>221</v>
      </c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 t="s">
        <v>221</v>
      </c>
      <c r="X68" s="444"/>
      <c r="Y68" s="444"/>
      <c r="Z68" s="444"/>
      <c r="AA68" s="444" t="s">
        <v>222</v>
      </c>
      <c r="AB68" s="444"/>
      <c r="AC68" s="444"/>
      <c r="AD68" s="444" t="s">
        <v>222</v>
      </c>
      <c r="AE68" s="444"/>
    </row>
    <row r="69" spans="1:31" s="131" customFormat="1" ht="15.75" thickBot="1">
      <c r="A69" s="443">
        <f t="shared" si="0"/>
        <v>20</v>
      </c>
      <c r="B69" s="433">
        <v>320</v>
      </c>
      <c r="C69" s="435">
        <v>42909</v>
      </c>
      <c r="D69" s="444" t="s">
        <v>219</v>
      </c>
      <c r="E69" s="444" t="s">
        <v>221</v>
      </c>
      <c r="F69" s="444"/>
      <c r="G69" s="444"/>
      <c r="H69" s="444"/>
      <c r="I69" s="444"/>
      <c r="J69" s="444"/>
      <c r="K69" s="444" t="s">
        <v>221</v>
      </c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 t="s">
        <v>221</v>
      </c>
      <c r="X69" s="444"/>
      <c r="Y69" s="444"/>
      <c r="Z69" s="444"/>
      <c r="AA69" s="444" t="s">
        <v>222</v>
      </c>
      <c r="AB69" s="444"/>
      <c r="AC69" s="444"/>
      <c r="AD69" s="444" t="s">
        <v>222</v>
      </c>
      <c r="AE69" s="444"/>
    </row>
    <row r="70" spans="1:31" s="131" customFormat="1" ht="15.75" thickBot="1">
      <c r="A70" s="443">
        <f t="shared" si="0"/>
        <v>21</v>
      </c>
      <c r="B70" s="433">
        <v>340</v>
      </c>
      <c r="C70" s="435">
        <v>42944</v>
      </c>
      <c r="D70" s="444" t="s">
        <v>219</v>
      </c>
      <c r="E70" s="444"/>
      <c r="F70" s="444"/>
      <c r="G70" s="444"/>
      <c r="H70" s="444" t="s">
        <v>221</v>
      </c>
      <c r="I70" s="444"/>
      <c r="J70" s="444"/>
      <c r="K70" s="444" t="s">
        <v>221</v>
      </c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 t="s">
        <v>221</v>
      </c>
      <c r="X70" s="444"/>
      <c r="Y70" s="444"/>
      <c r="Z70" s="444"/>
      <c r="AA70" s="444" t="s">
        <v>222</v>
      </c>
      <c r="AB70" s="444"/>
      <c r="AC70" s="444"/>
      <c r="AD70" s="444" t="s">
        <v>222</v>
      </c>
      <c r="AE70" s="444"/>
    </row>
    <row r="71" spans="1:31" s="131" customFormat="1" ht="15.75" thickBot="1">
      <c r="A71" s="443">
        <f t="shared" si="0"/>
        <v>22</v>
      </c>
      <c r="B71" s="433">
        <v>328</v>
      </c>
      <c r="C71" s="435">
        <v>42923</v>
      </c>
      <c r="D71" s="444" t="s">
        <v>219</v>
      </c>
      <c r="E71" s="444" t="s">
        <v>221</v>
      </c>
      <c r="F71" s="444"/>
      <c r="G71" s="444"/>
      <c r="H71" s="444"/>
      <c r="I71" s="444"/>
      <c r="J71" s="444"/>
      <c r="K71" s="444" t="s">
        <v>221</v>
      </c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</row>
    <row r="72" spans="1:31" s="131" customFormat="1" ht="15.75" thickBot="1">
      <c r="A72" s="443">
        <f t="shared" si="0"/>
        <v>23</v>
      </c>
      <c r="B72" s="433">
        <v>343</v>
      </c>
      <c r="C72" s="435">
        <v>42953</v>
      </c>
      <c r="D72" s="444" t="s">
        <v>219</v>
      </c>
      <c r="E72" s="444" t="s">
        <v>221</v>
      </c>
      <c r="F72" s="444"/>
      <c r="G72" s="444"/>
      <c r="H72" s="444"/>
      <c r="I72" s="444"/>
      <c r="J72" s="444"/>
      <c r="K72" s="444" t="s">
        <v>221</v>
      </c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444"/>
      <c r="W72" s="444" t="s">
        <v>221</v>
      </c>
      <c r="X72" s="444"/>
      <c r="Y72" s="444"/>
      <c r="Z72" s="444"/>
      <c r="AA72" s="444" t="s">
        <v>222</v>
      </c>
      <c r="AB72" s="444"/>
      <c r="AC72" s="444"/>
      <c r="AD72" s="444" t="s">
        <v>222</v>
      </c>
      <c r="AE72" s="444"/>
    </row>
    <row r="73" spans="1:31" s="131" customFormat="1" ht="15.75" thickBot="1">
      <c r="A73" s="443">
        <f t="shared" si="0"/>
        <v>24</v>
      </c>
      <c r="B73" s="433">
        <v>345</v>
      </c>
      <c r="C73" s="435">
        <v>42951</v>
      </c>
      <c r="D73" s="444" t="s">
        <v>219</v>
      </c>
      <c r="E73" s="444" t="s">
        <v>221</v>
      </c>
      <c r="F73" s="444"/>
      <c r="G73" s="444"/>
      <c r="H73" s="444"/>
      <c r="I73" s="444"/>
      <c r="J73" s="444"/>
      <c r="K73" s="444" t="s">
        <v>221</v>
      </c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 t="s">
        <v>221</v>
      </c>
      <c r="X73" s="444"/>
      <c r="Y73" s="444"/>
      <c r="Z73" s="444"/>
      <c r="AA73" s="444" t="s">
        <v>222</v>
      </c>
      <c r="AB73" s="444"/>
      <c r="AC73" s="444"/>
      <c r="AD73" s="444" t="s">
        <v>222</v>
      </c>
      <c r="AE73" s="444"/>
    </row>
    <row r="74" spans="1:31" s="131" customFormat="1" ht="15.75" thickBot="1">
      <c r="A74" s="443">
        <f t="shared" si="0"/>
        <v>25</v>
      </c>
      <c r="B74" s="433">
        <v>358</v>
      </c>
      <c r="C74" s="435">
        <v>42957</v>
      </c>
      <c r="D74" s="444" t="s">
        <v>219</v>
      </c>
      <c r="E74" s="444"/>
      <c r="F74" s="444"/>
      <c r="G74" s="444"/>
      <c r="H74" s="444" t="s">
        <v>221</v>
      </c>
      <c r="I74" s="444"/>
      <c r="J74" s="444"/>
      <c r="K74" s="444" t="s">
        <v>221</v>
      </c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 t="s">
        <v>221</v>
      </c>
      <c r="X74" s="444"/>
      <c r="Y74" s="444"/>
      <c r="Z74" s="444"/>
      <c r="AA74" s="444" t="s">
        <v>222</v>
      </c>
      <c r="AB74" s="444"/>
      <c r="AC74" s="444"/>
      <c r="AD74" s="444" t="s">
        <v>222</v>
      </c>
      <c r="AE74" s="444"/>
    </row>
    <row r="75" spans="1:31" s="131" customFormat="1" ht="15.75" thickBot="1">
      <c r="A75" s="443">
        <f t="shared" si="0"/>
        <v>26</v>
      </c>
      <c r="B75" s="433">
        <v>359</v>
      </c>
      <c r="C75" s="435">
        <v>42957</v>
      </c>
      <c r="D75" s="444" t="s">
        <v>219</v>
      </c>
      <c r="E75" s="444" t="s">
        <v>221</v>
      </c>
      <c r="F75" s="444"/>
      <c r="G75" s="444"/>
      <c r="H75" s="444"/>
      <c r="I75" s="444"/>
      <c r="J75" s="444"/>
      <c r="K75" s="444" t="s">
        <v>221</v>
      </c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 t="s">
        <v>221</v>
      </c>
      <c r="X75" s="444"/>
      <c r="Y75" s="444"/>
      <c r="Z75" s="444"/>
      <c r="AA75" s="444" t="s">
        <v>222</v>
      </c>
      <c r="AB75" s="444"/>
      <c r="AC75" s="444"/>
      <c r="AD75" s="444" t="s">
        <v>222</v>
      </c>
      <c r="AE75" s="444"/>
    </row>
    <row r="76" spans="1:31" s="131" customFormat="1" ht="15.75" thickBot="1">
      <c r="A76" s="443">
        <f t="shared" si="0"/>
        <v>27</v>
      </c>
      <c r="B76" s="433">
        <v>363</v>
      </c>
      <c r="C76" s="435">
        <v>42957</v>
      </c>
      <c r="D76" s="444" t="s">
        <v>219</v>
      </c>
      <c r="E76" s="444" t="s">
        <v>221</v>
      </c>
      <c r="F76" s="444"/>
      <c r="G76" s="444"/>
      <c r="H76" s="444"/>
      <c r="I76" s="444"/>
      <c r="J76" s="444"/>
      <c r="K76" s="444" t="s">
        <v>221</v>
      </c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 t="s">
        <v>221</v>
      </c>
      <c r="X76" s="444"/>
      <c r="Y76" s="444"/>
      <c r="Z76" s="444"/>
      <c r="AA76" s="444" t="s">
        <v>222</v>
      </c>
      <c r="AB76" s="444"/>
      <c r="AC76" s="444"/>
      <c r="AD76" s="444" t="s">
        <v>222</v>
      </c>
      <c r="AE76" s="444"/>
    </row>
    <row r="77" spans="1:31" s="131" customFormat="1" ht="15.75" thickBot="1">
      <c r="A77" s="443">
        <f t="shared" si="0"/>
        <v>28</v>
      </c>
      <c r="B77" s="433">
        <v>365</v>
      </c>
      <c r="C77" s="435">
        <v>42957</v>
      </c>
      <c r="D77" s="444" t="s">
        <v>219</v>
      </c>
      <c r="E77" s="444" t="s">
        <v>221</v>
      </c>
      <c r="F77" s="444"/>
      <c r="G77" s="444"/>
      <c r="H77" s="444"/>
      <c r="I77" s="444"/>
      <c r="J77" s="444"/>
      <c r="K77" s="444" t="s">
        <v>221</v>
      </c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 t="s">
        <v>221</v>
      </c>
      <c r="X77" s="444"/>
      <c r="Y77" s="444"/>
      <c r="Z77" s="444"/>
      <c r="AA77" s="444" t="s">
        <v>222</v>
      </c>
      <c r="AB77" s="444"/>
      <c r="AC77" s="444"/>
      <c r="AD77" s="444" t="s">
        <v>222</v>
      </c>
      <c r="AE77" s="444"/>
    </row>
    <row r="78" spans="1:31" s="131" customFormat="1" ht="15.75" thickBot="1">
      <c r="A78" s="443">
        <f t="shared" si="0"/>
        <v>29</v>
      </c>
      <c r="B78" s="433">
        <v>394</v>
      </c>
      <c r="C78" s="435">
        <v>42977</v>
      </c>
      <c r="D78" s="444" t="s">
        <v>220</v>
      </c>
      <c r="E78" s="444" t="s">
        <v>221</v>
      </c>
      <c r="F78" s="444"/>
      <c r="G78" s="444"/>
      <c r="H78" s="444"/>
      <c r="I78" s="444"/>
      <c r="J78" s="444"/>
      <c r="K78" s="444" t="s">
        <v>221</v>
      </c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 t="s">
        <v>221</v>
      </c>
      <c r="X78" s="444"/>
      <c r="Y78" s="444"/>
      <c r="Z78" s="444"/>
      <c r="AA78" s="444" t="s">
        <v>222</v>
      </c>
      <c r="AB78" s="444"/>
      <c r="AC78" s="444"/>
      <c r="AD78" s="444" t="s">
        <v>222</v>
      </c>
      <c r="AE78" s="444"/>
    </row>
    <row r="79" spans="1:31" s="131" customFormat="1" ht="15.75" thickBot="1">
      <c r="A79" s="443">
        <f t="shared" si="0"/>
        <v>30</v>
      </c>
      <c r="B79" s="433">
        <v>389</v>
      </c>
      <c r="C79" s="435">
        <v>42972</v>
      </c>
      <c r="D79" s="444" t="s">
        <v>219</v>
      </c>
      <c r="E79" s="444" t="s">
        <v>221</v>
      </c>
      <c r="F79" s="444"/>
      <c r="G79" s="444"/>
      <c r="H79" s="444"/>
      <c r="I79" s="444"/>
      <c r="J79" s="444"/>
      <c r="K79" s="444" t="s">
        <v>221</v>
      </c>
      <c r="L79" s="444"/>
      <c r="M79" s="444"/>
      <c r="N79" s="444"/>
      <c r="O79" s="444"/>
      <c r="P79" s="444"/>
      <c r="Q79" s="444"/>
      <c r="R79" s="444"/>
      <c r="S79" s="444"/>
      <c r="T79" s="444"/>
      <c r="U79" s="444"/>
      <c r="V79" s="444"/>
      <c r="W79" s="444" t="s">
        <v>221</v>
      </c>
      <c r="X79" s="444"/>
      <c r="Y79" s="444"/>
      <c r="Z79" s="444"/>
      <c r="AA79" s="444" t="s">
        <v>222</v>
      </c>
      <c r="AB79" s="444"/>
      <c r="AC79" s="444"/>
      <c r="AD79" s="444" t="s">
        <v>222</v>
      </c>
      <c r="AE79" s="444"/>
    </row>
    <row r="80" spans="1:31" s="131" customFormat="1" ht="15.75" thickBot="1">
      <c r="A80" s="443">
        <f t="shared" si="0"/>
        <v>31</v>
      </c>
      <c r="B80" s="433">
        <v>399</v>
      </c>
      <c r="C80" s="435">
        <v>42983</v>
      </c>
      <c r="D80" s="444" t="s">
        <v>219</v>
      </c>
      <c r="E80" s="444" t="s">
        <v>221</v>
      </c>
      <c r="F80" s="444"/>
      <c r="G80" s="444"/>
      <c r="H80" s="444"/>
      <c r="I80" s="444"/>
      <c r="J80" s="444"/>
      <c r="K80" s="444" t="s">
        <v>221</v>
      </c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 t="s">
        <v>221</v>
      </c>
      <c r="X80" s="444"/>
      <c r="Y80" s="444"/>
      <c r="Z80" s="444"/>
      <c r="AA80" s="444" t="s">
        <v>222</v>
      </c>
      <c r="AB80" s="444"/>
      <c r="AC80" s="444"/>
      <c r="AD80" s="444" t="s">
        <v>222</v>
      </c>
      <c r="AE80" s="444"/>
    </row>
    <row r="81" spans="1:31" s="131" customFormat="1" ht="15.75" thickBot="1">
      <c r="A81" s="443">
        <f t="shared" si="0"/>
        <v>32</v>
      </c>
      <c r="B81" s="433">
        <v>413</v>
      </c>
      <c r="C81" s="435">
        <v>42992</v>
      </c>
      <c r="D81" s="444" t="s">
        <v>219</v>
      </c>
      <c r="E81" s="444" t="s">
        <v>221</v>
      </c>
      <c r="F81" s="444"/>
      <c r="G81" s="444"/>
      <c r="H81" s="444"/>
      <c r="I81" s="444"/>
      <c r="J81" s="444"/>
      <c r="K81" s="444" t="s">
        <v>221</v>
      </c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 t="s">
        <v>221</v>
      </c>
      <c r="X81" s="444"/>
      <c r="Y81" s="444"/>
      <c r="Z81" s="444"/>
      <c r="AA81" s="444" t="s">
        <v>222</v>
      </c>
      <c r="AB81" s="444"/>
      <c r="AC81" s="444"/>
      <c r="AD81" s="444" t="s">
        <v>222</v>
      </c>
      <c r="AE81" s="444"/>
    </row>
    <row r="82" spans="1:31" s="131" customFormat="1" ht="15.75" thickBot="1">
      <c r="A82" s="443">
        <f t="shared" si="0"/>
        <v>33</v>
      </c>
      <c r="B82" s="433">
        <v>429</v>
      </c>
      <c r="C82" s="435">
        <v>43003</v>
      </c>
      <c r="D82" s="444" t="s">
        <v>219</v>
      </c>
      <c r="E82" s="444" t="s">
        <v>221</v>
      </c>
      <c r="F82" s="444"/>
      <c r="G82" s="444"/>
      <c r="H82" s="444"/>
      <c r="I82" s="444"/>
      <c r="J82" s="444"/>
      <c r="K82" s="444" t="s">
        <v>221</v>
      </c>
      <c r="L82" s="444"/>
      <c r="M82" s="444"/>
      <c r="N82" s="444"/>
      <c r="O82" s="444"/>
      <c r="P82" s="444"/>
      <c r="Q82" s="444"/>
      <c r="R82" s="444"/>
      <c r="S82" s="444"/>
      <c r="T82" s="444"/>
      <c r="U82" s="444"/>
      <c r="V82" s="444"/>
      <c r="W82" s="444" t="s">
        <v>221</v>
      </c>
      <c r="X82" s="444"/>
      <c r="Y82" s="444"/>
      <c r="Z82" s="444"/>
      <c r="AA82" s="444" t="s">
        <v>222</v>
      </c>
      <c r="AB82" s="444"/>
      <c r="AC82" s="444"/>
      <c r="AD82" s="444" t="s">
        <v>222</v>
      </c>
      <c r="AE82" s="444"/>
    </row>
    <row r="83" spans="1:31" s="131" customFormat="1" ht="15.75" thickBot="1">
      <c r="A83" s="443">
        <f t="shared" si="0"/>
        <v>34</v>
      </c>
      <c r="B83" s="433">
        <v>431</v>
      </c>
      <c r="C83" s="435">
        <v>43011</v>
      </c>
      <c r="D83" s="444" t="s">
        <v>219</v>
      </c>
      <c r="E83" s="444" t="s">
        <v>221</v>
      </c>
      <c r="F83" s="444"/>
      <c r="G83" s="444"/>
      <c r="H83" s="444"/>
      <c r="I83" s="444"/>
      <c r="J83" s="444"/>
      <c r="K83" s="444" t="s">
        <v>221</v>
      </c>
      <c r="L83" s="444"/>
      <c r="M83" s="444"/>
      <c r="N83" s="444"/>
      <c r="O83" s="444"/>
      <c r="P83" s="444"/>
      <c r="Q83" s="444"/>
      <c r="R83" s="444"/>
      <c r="S83" s="444"/>
      <c r="T83" s="444"/>
      <c r="U83" s="444"/>
      <c r="V83" s="444"/>
      <c r="W83" s="444" t="s">
        <v>221</v>
      </c>
      <c r="X83" s="444"/>
      <c r="Y83" s="444"/>
      <c r="Z83" s="444"/>
      <c r="AA83" s="444" t="s">
        <v>222</v>
      </c>
      <c r="AB83" s="444"/>
      <c r="AC83" s="444"/>
      <c r="AD83" s="444" t="s">
        <v>222</v>
      </c>
      <c r="AE83" s="444"/>
    </row>
    <row r="84" spans="1:31" s="131" customFormat="1" ht="15.75" thickBot="1">
      <c r="A84" s="443">
        <f t="shared" si="0"/>
        <v>35</v>
      </c>
      <c r="B84" s="433">
        <v>432</v>
      </c>
      <c r="C84" s="435">
        <v>43011</v>
      </c>
      <c r="D84" s="444" t="s">
        <v>219</v>
      </c>
      <c r="E84" s="444" t="s">
        <v>221</v>
      </c>
      <c r="F84" s="444"/>
      <c r="G84" s="444"/>
      <c r="H84" s="444"/>
      <c r="I84" s="444"/>
      <c r="J84" s="444"/>
      <c r="K84" s="444" t="s">
        <v>221</v>
      </c>
      <c r="L84" s="444"/>
      <c r="M84" s="444"/>
      <c r="N84" s="444"/>
      <c r="O84" s="444"/>
      <c r="P84" s="444"/>
      <c r="Q84" s="444"/>
      <c r="R84" s="444"/>
      <c r="S84" s="444"/>
      <c r="T84" s="444"/>
      <c r="U84" s="444"/>
      <c r="V84" s="444"/>
      <c r="W84" s="444" t="s">
        <v>221</v>
      </c>
      <c r="X84" s="444"/>
      <c r="Y84" s="444"/>
      <c r="Z84" s="444"/>
      <c r="AA84" s="444" t="s">
        <v>222</v>
      </c>
      <c r="AB84" s="444"/>
      <c r="AC84" s="444"/>
      <c r="AD84" s="444" t="s">
        <v>222</v>
      </c>
      <c r="AE84" s="444"/>
    </row>
    <row r="85" spans="1:31" s="131" customFormat="1" ht="15.75" thickBot="1">
      <c r="A85" s="443">
        <f t="shared" si="0"/>
        <v>36</v>
      </c>
      <c r="B85" s="433">
        <v>442</v>
      </c>
      <c r="C85" s="435">
        <v>43019</v>
      </c>
      <c r="D85" s="444" t="s">
        <v>219</v>
      </c>
      <c r="E85" s="444" t="s">
        <v>221</v>
      </c>
      <c r="F85" s="444"/>
      <c r="G85" s="444"/>
      <c r="H85" s="444"/>
      <c r="I85" s="444"/>
      <c r="J85" s="444"/>
      <c r="K85" s="444" t="s">
        <v>221</v>
      </c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 t="s">
        <v>221</v>
      </c>
      <c r="X85" s="444"/>
      <c r="Y85" s="444"/>
      <c r="Z85" s="444"/>
      <c r="AA85" s="444" t="s">
        <v>222</v>
      </c>
      <c r="AB85" s="444"/>
      <c r="AC85" s="444"/>
      <c r="AD85" s="444" t="s">
        <v>222</v>
      </c>
      <c r="AE85" s="444"/>
    </row>
    <row r="86" spans="1:31" s="131" customFormat="1" ht="15.75" thickBot="1">
      <c r="A86" s="443">
        <f t="shared" si="0"/>
        <v>37</v>
      </c>
      <c r="B86" s="433">
        <v>444</v>
      </c>
      <c r="C86" s="435">
        <v>43020</v>
      </c>
      <c r="D86" s="444" t="s">
        <v>219</v>
      </c>
      <c r="E86" s="444" t="s">
        <v>221</v>
      </c>
      <c r="F86" s="444"/>
      <c r="G86" s="444"/>
      <c r="H86" s="444"/>
      <c r="I86" s="444"/>
      <c r="J86" s="444"/>
      <c r="K86" s="444" t="s">
        <v>221</v>
      </c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 t="s">
        <v>221</v>
      </c>
      <c r="X86" s="444"/>
      <c r="Y86" s="444"/>
      <c r="Z86" s="444"/>
      <c r="AA86" s="444" t="s">
        <v>222</v>
      </c>
      <c r="AB86" s="444"/>
      <c r="AC86" s="444"/>
      <c r="AD86" s="444" t="s">
        <v>222</v>
      </c>
      <c r="AE86" s="444"/>
    </row>
    <row r="87" spans="1:31" s="131" customFormat="1" ht="15.75" thickBot="1">
      <c r="A87" s="443">
        <f t="shared" si="0"/>
        <v>38</v>
      </c>
      <c r="B87" s="433">
        <v>451</v>
      </c>
      <c r="C87" s="435">
        <v>43025</v>
      </c>
      <c r="D87" s="444" t="s">
        <v>219</v>
      </c>
      <c r="E87" s="444" t="s">
        <v>221</v>
      </c>
      <c r="F87" s="444"/>
      <c r="G87" s="444"/>
      <c r="H87" s="444"/>
      <c r="I87" s="444"/>
      <c r="J87" s="444"/>
      <c r="K87" s="444" t="s">
        <v>221</v>
      </c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 t="s">
        <v>221</v>
      </c>
      <c r="X87" s="444"/>
      <c r="Y87" s="444"/>
      <c r="Z87" s="444"/>
      <c r="AA87" s="444" t="s">
        <v>222</v>
      </c>
      <c r="AB87" s="444"/>
      <c r="AC87" s="444"/>
      <c r="AD87" s="444" t="s">
        <v>222</v>
      </c>
      <c r="AE87" s="444"/>
    </row>
    <row r="88" spans="1:31" s="131" customFormat="1" ht="15.75" thickBot="1">
      <c r="A88" s="443">
        <f t="shared" si="0"/>
        <v>39</v>
      </c>
      <c r="B88" s="433">
        <v>500</v>
      </c>
      <c r="C88" s="435">
        <v>43063</v>
      </c>
      <c r="D88" s="444" t="s">
        <v>219</v>
      </c>
      <c r="E88" s="444"/>
      <c r="F88" s="444"/>
      <c r="G88" s="444"/>
      <c r="H88" s="444" t="s">
        <v>221</v>
      </c>
      <c r="I88" s="444"/>
      <c r="J88" s="444"/>
      <c r="K88" s="444" t="s">
        <v>221</v>
      </c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 t="s">
        <v>221</v>
      </c>
      <c r="X88" s="444"/>
      <c r="Y88" s="444"/>
      <c r="Z88" s="444"/>
      <c r="AA88" s="444" t="s">
        <v>222</v>
      </c>
      <c r="AB88" s="444"/>
      <c r="AC88" s="444"/>
      <c r="AD88" s="444" t="s">
        <v>222</v>
      </c>
      <c r="AE88" s="444"/>
    </row>
    <row r="89" spans="1:31" s="131" customFormat="1" ht="15.75" thickBot="1">
      <c r="A89" s="443">
        <f t="shared" si="0"/>
        <v>40</v>
      </c>
      <c r="B89" s="433">
        <v>507</v>
      </c>
      <c r="C89" s="435">
        <v>43068</v>
      </c>
      <c r="D89" s="444" t="s">
        <v>219</v>
      </c>
      <c r="E89" s="444" t="s">
        <v>221</v>
      </c>
      <c r="F89" s="444"/>
      <c r="G89" s="444"/>
      <c r="H89" s="444"/>
      <c r="I89" s="444"/>
      <c r="J89" s="444"/>
      <c r="K89" s="444" t="s">
        <v>221</v>
      </c>
      <c r="L89" s="444"/>
      <c r="M89" s="444"/>
      <c r="N89" s="444"/>
      <c r="O89" s="444"/>
      <c r="P89" s="444"/>
      <c r="Q89" s="444"/>
      <c r="R89" s="444"/>
      <c r="S89" s="444"/>
      <c r="T89" s="444"/>
      <c r="U89" s="444"/>
      <c r="V89" s="444"/>
      <c r="W89" s="444" t="s">
        <v>221</v>
      </c>
      <c r="X89" s="444"/>
      <c r="Y89" s="444"/>
      <c r="Z89" s="444"/>
      <c r="AA89" s="444" t="s">
        <v>222</v>
      </c>
      <c r="AB89" s="444"/>
      <c r="AC89" s="444"/>
      <c r="AD89" s="444" t="s">
        <v>222</v>
      </c>
      <c r="AE89" s="444"/>
    </row>
    <row r="90" spans="1:31" s="131" customFormat="1" ht="15.75" thickBot="1">
      <c r="A90" s="443">
        <f t="shared" si="0"/>
        <v>41</v>
      </c>
      <c r="B90" s="433">
        <v>512</v>
      </c>
      <c r="C90" s="435">
        <v>43069</v>
      </c>
      <c r="D90" s="444" t="s">
        <v>219</v>
      </c>
      <c r="E90" s="444" t="s">
        <v>221</v>
      </c>
      <c r="F90" s="444"/>
      <c r="G90" s="444"/>
      <c r="H90" s="444"/>
      <c r="I90" s="444"/>
      <c r="J90" s="444"/>
      <c r="K90" s="444" t="s">
        <v>221</v>
      </c>
      <c r="L90" s="444"/>
      <c r="M90" s="444"/>
      <c r="N90" s="444"/>
      <c r="O90" s="444"/>
      <c r="P90" s="444"/>
      <c r="Q90" s="444"/>
      <c r="R90" s="444"/>
      <c r="S90" s="444"/>
      <c r="T90" s="444"/>
      <c r="U90" s="444"/>
      <c r="V90" s="444"/>
      <c r="W90" s="444" t="s">
        <v>221</v>
      </c>
      <c r="X90" s="444"/>
      <c r="Y90" s="444"/>
      <c r="Z90" s="444"/>
      <c r="AA90" s="444" t="s">
        <v>222</v>
      </c>
      <c r="AB90" s="444"/>
      <c r="AC90" s="444"/>
      <c r="AD90" s="444" t="s">
        <v>222</v>
      </c>
      <c r="AE90" s="444"/>
    </row>
    <row r="91" spans="1:31" s="131" customFormat="1" ht="15.75" thickBot="1">
      <c r="A91" s="443">
        <f t="shared" si="0"/>
        <v>42</v>
      </c>
      <c r="B91" s="433">
        <v>538</v>
      </c>
      <c r="C91" s="435">
        <v>43080</v>
      </c>
      <c r="D91" s="444" t="s">
        <v>219</v>
      </c>
      <c r="E91" s="444"/>
      <c r="F91" s="444"/>
      <c r="G91" s="444"/>
      <c r="H91" s="444" t="s">
        <v>221</v>
      </c>
      <c r="I91" s="444"/>
      <c r="J91" s="444"/>
      <c r="K91" s="444" t="s">
        <v>221</v>
      </c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 t="s">
        <v>221</v>
      </c>
      <c r="X91" s="444"/>
      <c r="Y91" s="444"/>
      <c r="Z91" s="444"/>
      <c r="AA91" s="444" t="s">
        <v>222</v>
      </c>
      <c r="AB91" s="444"/>
      <c r="AC91" s="444"/>
      <c r="AD91" s="444" t="s">
        <v>222</v>
      </c>
      <c r="AE91" s="444"/>
    </row>
    <row r="92" spans="1:31" s="131" customFormat="1" ht="15.75" thickBot="1">
      <c r="A92" s="443">
        <f t="shared" si="0"/>
        <v>43</v>
      </c>
      <c r="B92" s="433">
        <v>494</v>
      </c>
      <c r="C92" s="435">
        <v>43062</v>
      </c>
      <c r="D92" s="444" t="s">
        <v>219</v>
      </c>
      <c r="E92" s="444"/>
      <c r="F92" s="444"/>
      <c r="G92" s="444"/>
      <c r="H92" s="444" t="s">
        <v>221</v>
      </c>
      <c r="I92" s="444"/>
      <c r="J92" s="444"/>
      <c r="K92" s="444" t="s">
        <v>221</v>
      </c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 t="s">
        <v>221</v>
      </c>
      <c r="X92" s="444"/>
      <c r="Y92" s="444"/>
      <c r="Z92" s="444"/>
      <c r="AA92" s="444" t="s">
        <v>222</v>
      </c>
      <c r="AB92" s="444"/>
      <c r="AC92" s="444"/>
      <c r="AD92" s="444" t="s">
        <v>222</v>
      </c>
      <c r="AE92" s="444"/>
    </row>
    <row r="93" spans="1:31" s="131" customFormat="1" ht="15.75" thickBot="1">
      <c r="A93" s="443">
        <f t="shared" si="0"/>
        <v>44</v>
      </c>
      <c r="B93" s="433" t="s">
        <v>734</v>
      </c>
      <c r="C93" s="435">
        <v>43109</v>
      </c>
      <c r="D93" s="444" t="s">
        <v>219</v>
      </c>
      <c r="E93" s="444" t="s">
        <v>221</v>
      </c>
      <c r="F93" s="444"/>
      <c r="G93" s="444"/>
      <c r="H93" s="444"/>
      <c r="I93" s="444"/>
      <c r="J93" s="444"/>
      <c r="K93" s="444"/>
      <c r="L93" s="444"/>
      <c r="M93" s="444"/>
      <c r="N93" s="444"/>
      <c r="O93" s="444" t="s">
        <v>221</v>
      </c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</row>
    <row r="94" spans="1:31" s="131" customFormat="1" ht="15.75" thickBot="1">
      <c r="A94" s="443">
        <f t="shared" si="0"/>
        <v>45</v>
      </c>
      <c r="B94" s="433">
        <v>10</v>
      </c>
      <c r="C94" s="435">
        <v>42751</v>
      </c>
      <c r="D94" s="444" t="s">
        <v>219</v>
      </c>
      <c r="E94" s="444" t="s">
        <v>221</v>
      </c>
      <c r="F94" s="444"/>
      <c r="G94" s="444"/>
      <c r="H94" s="444"/>
      <c r="I94" s="444"/>
      <c r="J94" s="444"/>
      <c r="K94" s="444"/>
      <c r="L94" s="444"/>
      <c r="M94" s="444"/>
      <c r="N94" s="444"/>
      <c r="O94" s="444" t="s">
        <v>221</v>
      </c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</row>
    <row r="95" spans="1:31" s="131" customFormat="1" ht="15.75" thickBot="1">
      <c r="A95" s="443">
        <f t="shared" si="0"/>
        <v>46</v>
      </c>
      <c r="B95" s="433">
        <v>19</v>
      </c>
      <c r="C95" s="435">
        <v>42755</v>
      </c>
      <c r="D95" s="444" t="s">
        <v>219</v>
      </c>
      <c r="E95" s="444" t="s">
        <v>221</v>
      </c>
      <c r="F95" s="444"/>
      <c r="G95" s="444"/>
      <c r="H95" s="444"/>
      <c r="I95" s="444"/>
      <c r="J95" s="444"/>
      <c r="K95" s="444"/>
      <c r="L95" s="444"/>
      <c r="M95" s="444"/>
      <c r="N95" s="444"/>
      <c r="O95" s="444" t="s">
        <v>221</v>
      </c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</row>
    <row r="96" spans="1:31" s="131" customFormat="1" ht="15.75" thickBot="1">
      <c r="A96" s="443">
        <f t="shared" si="0"/>
        <v>47</v>
      </c>
      <c r="B96" s="433">
        <v>23</v>
      </c>
      <c r="C96" s="435">
        <v>42758</v>
      </c>
      <c r="D96" s="444" t="s">
        <v>219</v>
      </c>
      <c r="E96" s="444" t="s">
        <v>221</v>
      </c>
      <c r="F96" s="444"/>
      <c r="G96" s="444"/>
      <c r="H96" s="444"/>
      <c r="I96" s="444"/>
      <c r="J96" s="444"/>
      <c r="K96" s="444"/>
      <c r="L96" s="444"/>
      <c r="M96" s="444"/>
      <c r="N96" s="444"/>
      <c r="O96" s="444" t="s">
        <v>221</v>
      </c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</row>
    <row r="97" spans="1:31" s="131" customFormat="1" ht="15.75" thickBot="1">
      <c r="A97" s="443">
        <f t="shared" si="0"/>
        <v>48</v>
      </c>
      <c r="B97" s="433">
        <v>40</v>
      </c>
      <c r="C97" s="435">
        <v>42765</v>
      </c>
      <c r="D97" s="444" t="s">
        <v>219</v>
      </c>
      <c r="E97" s="444" t="s">
        <v>221</v>
      </c>
      <c r="F97" s="444"/>
      <c r="G97" s="444"/>
      <c r="H97" s="444"/>
      <c r="I97" s="444"/>
      <c r="J97" s="444"/>
      <c r="K97" s="444"/>
      <c r="L97" s="444"/>
      <c r="M97" s="444"/>
      <c r="N97" s="444"/>
      <c r="O97" s="444" t="s">
        <v>221</v>
      </c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</row>
    <row r="98" spans="1:31" s="131" customFormat="1" ht="15.75" thickBot="1">
      <c r="A98" s="443">
        <f t="shared" si="0"/>
        <v>49</v>
      </c>
      <c r="B98" s="433">
        <v>43</v>
      </c>
      <c r="C98" s="435">
        <v>42768</v>
      </c>
      <c r="D98" s="444" t="s">
        <v>219</v>
      </c>
      <c r="E98" s="444" t="s">
        <v>221</v>
      </c>
      <c r="F98" s="444"/>
      <c r="G98" s="444"/>
      <c r="H98" s="444"/>
      <c r="I98" s="444"/>
      <c r="J98" s="444"/>
      <c r="K98" s="444"/>
      <c r="L98" s="444"/>
      <c r="M98" s="444"/>
      <c r="N98" s="444"/>
      <c r="O98" s="444" t="s">
        <v>221</v>
      </c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</row>
    <row r="99" spans="1:31" s="131" customFormat="1" ht="15.75" thickBot="1">
      <c r="A99" s="443">
        <f t="shared" si="0"/>
        <v>50</v>
      </c>
      <c r="B99" s="433">
        <v>53</v>
      </c>
      <c r="C99" s="435">
        <v>42772</v>
      </c>
      <c r="D99" s="444" t="s">
        <v>219</v>
      </c>
      <c r="E99" s="444" t="s">
        <v>221</v>
      </c>
      <c r="F99" s="444"/>
      <c r="G99" s="444"/>
      <c r="H99" s="444"/>
      <c r="I99" s="444"/>
      <c r="J99" s="444"/>
      <c r="K99" s="444"/>
      <c r="L99" s="444"/>
      <c r="M99" s="444"/>
      <c r="N99" s="444"/>
      <c r="O99" s="444" t="s">
        <v>221</v>
      </c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</row>
    <row r="100" spans="1:31" s="131" customFormat="1" ht="15.75" thickBot="1">
      <c r="A100" s="443">
        <f t="shared" si="0"/>
        <v>51</v>
      </c>
      <c r="B100" s="433">
        <v>108</v>
      </c>
      <c r="C100" s="435">
        <v>42796</v>
      </c>
      <c r="D100" s="444" t="s">
        <v>219</v>
      </c>
      <c r="E100" s="444" t="s">
        <v>221</v>
      </c>
      <c r="F100" s="444"/>
      <c r="G100" s="444"/>
      <c r="H100" s="444"/>
      <c r="I100" s="444"/>
      <c r="J100" s="444"/>
      <c r="K100" s="444"/>
      <c r="L100" s="444"/>
      <c r="M100" s="444"/>
      <c r="N100" s="444"/>
      <c r="O100" s="444" t="s">
        <v>221</v>
      </c>
      <c r="P100" s="444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</row>
    <row r="101" spans="1:31" s="131" customFormat="1" ht="15.75" thickBot="1">
      <c r="A101" s="443">
        <f t="shared" si="0"/>
        <v>52</v>
      </c>
      <c r="B101" s="433">
        <v>113</v>
      </c>
      <c r="C101" s="435">
        <v>42800</v>
      </c>
      <c r="D101" s="444" t="s">
        <v>219</v>
      </c>
      <c r="E101" s="444" t="s">
        <v>221</v>
      </c>
      <c r="F101" s="444"/>
      <c r="G101" s="444"/>
      <c r="H101" s="444"/>
      <c r="I101" s="444"/>
      <c r="J101" s="444"/>
      <c r="K101" s="444"/>
      <c r="L101" s="444"/>
      <c r="M101" s="444"/>
      <c r="N101" s="444"/>
      <c r="O101" s="444" t="s">
        <v>221</v>
      </c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</row>
    <row r="102" spans="1:31" s="131" customFormat="1" ht="15.75" thickBot="1">
      <c r="A102" s="443">
        <f t="shared" si="0"/>
        <v>53</v>
      </c>
      <c r="B102" s="433">
        <v>114</v>
      </c>
      <c r="C102" s="435">
        <v>42800</v>
      </c>
      <c r="D102" s="444" t="s">
        <v>219</v>
      </c>
      <c r="E102" s="444" t="s">
        <v>221</v>
      </c>
      <c r="F102" s="444"/>
      <c r="G102" s="444"/>
      <c r="H102" s="444"/>
      <c r="I102" s="444"/>
      <c r="J102" s="444"/>
      <c r="K102" s="444"/>
      <c r="L102" s="444"/>
      <c r="M102" s="444"/>
      <c r="N102" s="444"/>
      <c r="O102" s="444" t="s">
        <v>221</v>
      </c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</row>
    <row r="103" spans="1:31" s="131" customFormat="1" ht="15.75" thickBot="1">
      <c r="A103" s="443">
        <f t="shared" si="0"/>
        <v>54</v>
      </c>
      <c r="B103" s="433">
        <v>117</v>
      </c>
      <c r="C103" s="435">
        <v>42801</v>
      </c>
      <c r="D103" s="444" t="s">
        <v>219</v>
      </c>
      <c r="E103" s="444" t="s">
        <v>221</v>
      </c>
      <c r="F103" s="444"/>
      <c r="G103" s="444"/>
      <c r="H103" s="444"/>
      <c r="I103" s="444"/>
      <c r="J103" s="444"/>
      <c r="K103" s="444"/>
      <c r="L103" s="444"/>
      <c r="M103" s="444"/>
      <c r="N103" s="444"/>
      <c r="O103" s="444" t="s">
        <v>221</v>
      </c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</row>
    <row r="104" spans="1:31" s="131" customFormat="1" ht="15.75" thickBot="1">
      <c r="A104" s="443">
        <f t="shared" si="0"/>
        <v>55</v>
      </c>
      <c r="B104" s="433">
        <v>118</v>
      </c>
      <c r="C104" s="435">
        <v>42801</v>
      </c>
      <c r="D104" s="444" t="s">
        <v>219</v>
      </c>
      <c r="E104" s="444"/>
      <c r="F104" s="444"/>
      <c r="G104" s="444"/>
      <c r="H104" s="444" t="s">
        <v>221</v>
      </c>
      <c r="I104" s="444"/>
      <c r="J104" s="444"/>
      <c r="K104" s="444"/>
      <c r="L104" s="444"/>
      <c r="M104" s="444"/>
      <c r="N104" s="444"/>
      <c r="O104" s="444" t="s">
        <v>221</v>
      </c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</row>
    <row r="105" spans="1:31" s="131" customFormat="1" ht="15.75" thickBot="1">
      <c r="A105" s="443">
        <f t="shared" si="0"/>
        <v>56</v>
      </c>
      <c r="B105" s="433">
        <v>128</v>
      </c>
      <c r="C105" s="435">
        <v>42803</v>
      </c>
      <c r="D105" s="444" t="s">
        <v>219</v>
      </c>
      <c r="E105" s="444"/>
      <c r="F105" s="444"/>
      <c r="G105" s="444"/>
      <c r="H105" s="444" t="s">
        <v>221</v>
      </c>
      <c r="I105" s="444"/>
      <c r="J105" s="444"/>
      <c r="K105" s="444"/>
      <c r="L105" s="444"/>
      <c r="M105" s="444"/>
      <c r="N105" s="444"/>
      <c r="O105" s="444" t="s">
        <v>221</v>
      </c>
      <c r="P105" s="444"/>
      <c r="Q105" s="444"/>
      <c r="R105" s="444"/>
      <c r="S105" s="444"/>
      <c r="T105" s="444"/>
      <c r="U105" s="444"/>
      <c r="V105" s="444"/>
      <c r="W105" s="444"/>
      <c r="X105" s="444"/>
      <c r="Y105" s="444"/>
      <c r="Z105" s="444"/>
      <c r="AA105" s="444"/>
      <c r="AB105" s="444"/>
      <c r="AC105" s="444"/>
      <c r="AD105" s="444"/>
      <c r="AE105" s="444"/>
    </row>
    <row r="106" spans="1:31" s="131" customFormat="1" ht="15.75" thickBot="1">
      <c r="A106" s="443">
        <f t="shared" si="0"/>
        <v>57</v>
      </c>
      <c r="B106" s="433">
        <v>154</v>
      </c>
      <c r="C106" s="435">
        <v>42818</v>
      </c>
      <c r="D106" s="444" t="s">
        <v>219</v>
      </c>
      <c r="E106" s="444" t="s">
        <v>221</v>
      </c>
      <c r="F106" s="444"/>
      <c r="G106" s="444"/>
      <c r="H106" s="444"/>
      <c r="I106" s="444"/>
      <c r="J106" s="444"/>
      <c r="K106" s="444"/>
      <c r="L106" s="444"/>
      <c r="M106" s="444"/>
      <c r="N106" s="444"/>
      <c r="O106" s="444" t="s">
        <v>221</v>
      </c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444"/>
    </row>
    <row r="107" spans="1:31" s="131" customFormat="1" ht="15.75" thickBot="1">
      <c r="A107" s="443">
        <f t="shared" si="0"/>
        <v>58</v>
      </c>
      <c r="B107" s="433">
        <v>158</v>
      </c>
      <c r="C107" s="435">
        <v>42821</v>
      </c>
      <c r="D107" s="444" t="s">
        <v>219</v>
      </c>
      <c r="E107" s="444" t="s">
        <v>221</v>
      </c>
      <c r="F107" s="444"/>
      <c r="G107" s="444"/>
      <c r="H107" s="444"/>
      <c r="I107" s="444"/>
      <c r="J107" s="444"/>
      <c r="K107" s="444"/>
      <c r="L107" s="444"/>
      <c r="M107" s="444"/>
      <c r="N107" s="444"/>
      <c r="O107" s="444" t="s">
        <v>221</v>
      </c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  <c r="AB107" s="444"/>
      <c r="AC107" s="444"/>
      <c r="AD107" s="444"/>
      <c r="AE107" s="444"/>
    </row>
    <row r="108" spans="1:31" s="131" customFormat="1" ht="15.75" thickBot="1">
      <c r="A108" s="443">
        <f t="shared" si="0"/>
        <v>59</v>
      </c>
      <c r="B108" s="433">
        <v>171</v>
      </c>
      <c r="C108" s="435">
        <v>42828</v>
      </c>
      <c r="D108" s="444" t="s">
        <v>219</v>
      </c>
      <c r="E108" s="444" t="s">
        <v>221</v>
      </c>
      <c r="F108" s="444"/>
      <c r="G108" s="444"/>
      <c r="H108" s="444"/>
      <c r="I108" s="444"/>
      <c r="J108" s="444"/>
      <c r="K108" s="444"/>
      <c r="L108" s="444"/>
      <c r="M108" s="444"/>
      <c r="N108" s="444"/>
      <c r="O108" s="444" t="s">
        <v>221</v>
      </c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</row>
    <row r="109" spans="1:31" s="131" customFormat="1" ht="15.75" thickBot="1">
      <c r="A109" s="443">
        <f t="shared" si="0"/>
        <v>60</v>
      </c>
      <c r="B109" s="433">
        <v>174</v>
      </c>
      <c r="C109" s="435">
        <v>42828</v>
      </c>
      <c r="D109" s="444" t="s">
        <v>219</v>
      </c>
      <c r="E109" s="444" t="s">
        <v>221</v>
      </c>
      <c r="F109" s="444"/>
      <c r="G109" s="444"/>
      <c r="H109" s="444"/>
      <c r="I109" s="444"/>
      <c r="J109" s="444"/>
      <c r="K109" s="444"/>
      <c r="L109" s="444"/>
      <c r="M109" s="444"/>
      <c r="N109" s="444"/>
      <c r="O109" s="444" t="s">
        <v>221</v>
      </c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</row>
    <row r="110" spans="1:31" s="131" customFormat="1" ht="15.75" thickBot="1">
      <c r="A110" s="443">
        <f t="shared" si="0"/>
        <v>61</v>
      </c>
      <c r="B110" s="433">
        <v>216</v>
      </c>
      <c r="C110" s="435">
        <v>42846</v>
      </c>
      <c r="D110" s="444" t="s">
        <v>219</v>
      </c>
      <c r="E110" s="444"/>
      <c r="F110" s="444"/>
      <c r="G110" s="444"/>
      <c r="H110" s="444" t="s">
        <v>221</v>
      </c>
      <c r="I110" s="444"/>
      <c r="J110" s="444"/>
      <c r="K110" s="444"/>
      <c r="L110" s="444"/>
      <c r="M110" s="444"/>
      <c r="N110" s="444"/>
      <c r="O110" s="444" t="s">
        <v>221</v>
      </c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</row>
    <row r="111" spans="1:31" s="131" customFormat="1" ht="15.75" thickBot="1">
      <c r="A111" s="443">
        <f t="shared" si="0"/>
        <v>62</v>
      </c>
      <c r="B111" s="433">
        <v>224</v>
      </c>
      <c r="C111" s="435">
        <v>42853</v>
      </c>
      <c r="D111" s="444" t="s">
        <v>219</v>
      </c>
      <c r="E111" s="444" t="s">
        <v>221</v>
      </c>
      <c r="F111" s="444"/>
      <c r="G111" s="444"/>
      <c r="H111" s="444"/>
      <c r="I111" s="444"/>
      <c r="J111" s="444"/>
      <c r="K111" s="444"/>
      <c r="L111" s="444"/>
      <c r="M111" s="444"/>
      <c r="N111" s="444"/>
      <c r="O111" s="444" t="s">
        <v>221</v>
      </c>
      <c r="P111" s="444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</row>
    <row r="112" spans="1:31" s="131" customFormat="1" ht="15.75" thickBot="1">
      <c r="A112" s="443">
        <f t="shared" si="0"/>
        <v>63</v>
      </c>
      <c r="B112" s="433">
        <v>244</v>
      </c>
      <c r="C112" s="435">
        <v>42859</v>
      </c>
      <c r="D112" s="444" t="s">
        <v>219</v>
      </c>
      <c r="E112" s="444" t="s">
        <v>221</v>
      </c>
      <c r="F112" s="444"/>
      <c r="G112" s="444"/>
      <c r="H112" s="444"/>
      <c r="I112" s="444"/>
      <c r="J112" s="444"/>
      <c r="K112" s="444"/>
      <c r="L112" s="444"/>
      <c r="M112" s="444"/>
      <c r="N112" s="444"/>
      <c r="O112" s="444" t="s">
        <v>221</v>
      </c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</row>
    <row r="113" spans="1:31" s="131" customFormat="1" ht="15.75" thickBot="1">
      <c r="A113" s="443">
        <f t="shared" si="0"/>
        <v>64</v>
      </c>
      <c r="B113" s="433">
        <v>270</v>
      </c>
      <c r="C113" s="435">
        <v>42877</v>
      </c>
      <c r="D113" s="444" t="s">
        <v>219</v>
      </c>
      <c r="E113" s="444" t="s">
        <v>221</v>
      </c>
      <c r="F113" s="444"/>
      <c r="G113" s="444"/>
      <c r="H113" s="444"/>
      <c r="I113" s="444"/>
      <c r="J113" s="444"/>
      <c r="K113" s="444"/>
      <c r="L113" s="444"/>
      <c r="M113" s="444"/>
      <c r="N113" s="444"/>
      <c r="O113" s="444" t="s">
        <v>221</v>
      </c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</row>
    <row r="114" spans="1:31" s="131" customFormat="1" ht="15.75" thickBot="1">
      <c r="A114" s="443">
        <f t="shared" si="0"/>
        <v>65</v>
      </c>
      <c r="B114" s="433">
        <v>269</v>
      </c>
      <c r="C114" s="435">
        <v>42877</v>
      </c>
      <c r="D114" s="444" t="s">
        <v>219</v>
      </c>
      <c r="E114" s="444" t="s">
        <v>221</v>
      </c>
      <c r="F114" s="444"/>
      <c r="G114" s="444"/>
      <c r="H114" s="444"/>
      <c r="I114" s="444"/>
      <c r="J114" s="444"/>
      <c r="K114" s="444"/>
      <c r="L114" s="444"/>
      <c r="M114" s="444"/>
      <c r="N114" s="444"/>
      <c r="O114" s="444" t="s">
        <v>221</v>
      </c>
      <c r="P114" s="444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</row>
    <row r="115" spans="1:31" s="131" customFormat="1" ht="15.75" thickBot="1">
      <c r="A115" s="443">
        <f t="shared" si="0"/>
        <v>66</v>
      </c>
      <c r="B115" s="433">
        <v>264</v>
      </c>
      <c r="C115" s="435">
        <v>42874</v>
      </c>
      <c r="D115" s="444" t="s">
        <v>219</v>
      </c>
      <c r="E115" s="444" t="s">
        <v>221</v>
      </c>
      <c r="F115" s="444"/>
      <c r="G115" s="444"/>
      <c r="H115" s="444"/>
      <c r="I115" s="444"/>
      <c r="J115" s="444"/>
      <c r="K115" s="444"/>
      <c r="L115" s="444"/>
      <c r="M115" s="444"/>
      <c r="N115" s="444"/>
      <c r="O115" s="444" t="s">
        <v>221</v>
      </c>
      <c r="P115" s="444"/>
      <c r="Q115" s="444"/>
      <c r="R115" s="444"/>
      <c r="S115" s="444"/>
      <c r="T115" s="444"/>
      <c r="U115" s="444"/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</row>
    <row r="116" spans="1:31" s="131" customFormat="1" ht="15.75" thickBot="1">
      <c r="A116" s="443">
        <f aca="true" t="shared" si="1" ref="A116:A147">A115+1</f>
        <v>67</v>
      </c>
      <c r="B116" s="433">
        <v>265</v>
      </c>
      <c r="C116" s="435">
        <v>42874</v>
      </c>
      <c r="D116" s="444" t="s">
        <v>219</v>
      </c>
      <c r="E116" s="444" t="s">
        <v>221</v>
      </c>
      <c r="F116" s="444"/>
      <c r="G116" s="444"/>
      <c r="H116" s="444"/>
      <c r="I116" s="444"/>
      <c r="J116" s="444"/>
      <c r="K116" s="444"/>
      <c r="L116" s="444"/>
      <c r="M116" s="444"/>
      <c r="N116" s="444"/>
      <c r="O116" s="444" t="s">
        <v>221</v>
      </c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</row>
    <row r="117" spans="1:31" s="131" customFormat="1" ht="15.75" thickBot="1">
      <c r="A117" s="443">
        <f t="shared" si="1"/>
        <v>68</v>
      </c>
      <c r="B117" s="433">
        <v>271</v>
      </c>
      <c r="C117" s="435">
        <v>42877</v>
      </c>
      <c r="D117" s="444" t="s">
        <v>219</v>
      </c>
      <c r="E117" s="444" t="s">
        <v>221</v>
      </c>
      <c r="F117" s="446"/>
      <c r="G117" s="447"/>
      <c r="H117" s="447"/>
      <c r="I117" s="447"/>
      <c r="J117" s="447"/>
      <c r="K117" s="444"/>
      <c r="L117" s="444"/>
      <c r="M117" s="444"/>
      <c r="N117" s="444"/>
      <c r="O117" s="444" t="s">
        <v>221</v>
      </c>
      <c r="P117" s="444"/>
      <c r="Q117" s="444"/>
      <c r="R117" s="444"/>
      <c r="S117" s="444"/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</row>
    <row r="118" spans="1:31" s="131" customFormat="1" ht="15.75" thickBot="1">
      <c r="A118" s="443">
        <f t="shared" si="1"/>
        <v>69</v>
      </c>
      <c r="B118" s="438">
        <v>272</v>
      </c>
      <c r="C118" s="437">
        <v>42877</v>
      </c>
      <c r="D118" s="444" t="s">
        <v>219</v>
      </c>
      <c r="E118" s="446" t="s">
        <v>221</v>
      </c>
      <c r="F118" s="448"/>
      <c r="G118" s="447"/>
      <c r="H118" s="448"/>
      <c r="I118" s="448"/>
      <c r="J118" s="449"/>
      <c r="K118" s="444"/>
      <c r="L118" s="448"/>
      <c r="M118" s="448"/>
      <c r="N118" s="448"/>
      <c r="O118" s="448" t="s">
        <v>221</v>
      </c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  <c r="Z118" s="448"/>
      <c r="AA118" s="448"/>
      <c r="AB118" s="448"/>
      <c r="AC118" s="448"/>
      <c r="AD118" s="448"/>
      <c r="AE118" s="448"/>
    </row>
    <row r="119" spans="1:31" s="131" customFormat="1" ht="15.75" thickBot="1">
      <c r="A119" s="443">
        <f t="shared" si="1"/>
        <v>70</v>
      </c>
      <c r="B119" s="433">
        <v>281</v>
      </c>
      <c r="C119" s="435">
        <v>42881</v>
      </c>
      <c r="D119" s="444" t="s">
        <v>219</v>
      </c>
      <c r="E119" s="450" t="s">
        <v>221</v>
      </c>
      <c r="F119" s="446"/>
      <c r="G119" s="447"/>
      <c r="H119" s="447"/>
      <c r="I119" s="447"/>
      <c r="J119" s="446"/>
      <c r="K119" s="444"/>
      <c r="L119" s="448"/>
      <c r="M119" s="448"/>
      <c r="N119" s="448"/>
      <c r="O119" s="446" t="s">
        <v>221</v>
      </c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448"/>
      <c r="AA119" s="448"/>
      <c r="AB119" s="448"/>
      <c r="AC119" s="448"/>
      <c r="AD119" s="448"/>
      <c r="AE119" s="448"/>
    </row>
    <row r="120" spans="1:31" s="131" customFormat="1" ht="15.75" thickBot="1">
      <c r="A120" s="443">
        <f t="shared" si="1"/>
        <v>71</v>
      </c>
      <c r="B120" s="433">
        <v>282</v>
      </c>
      <c r="C120" s="435">
        <v>42881</v>
      </c>
      <c r="D120" s="444" t="s">
        <v>219</v>
      </c>
      <c r="E120" s="449" t="s">
        <v>221</v>
      </c>
      <c r="F120" s="444"/>
      <c r="G120" s="444"/>
      <c r="H120" s="444"/>
      <c r="I120" s="444"/>
      <c r="J120" s="444"/>
      <c r="K120" s="444"/>
      <c r="L120" s="448"/>
      <c r="M120" s="448"/>
      <c r="N120" s="448"/>
      <c r="O120" s="444" t="s">
        <v>221</v>
      </c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  <c r="AA120" s="448"/>
      <c r="AB120" s="448"/>
      <c r="AC120" s="448"/>
      <c r="AD120" s="448"/>
      <c r="AE120" s="448"/>
    </row>
    <row r="121" spans="1:31" s="131" customFormat="1" ht="15.75" thickBot="1">
      <c r="A121" s="443">
        <f t="shared" si="1"/>
        <v>72</v>
      </c>
      <c r="B121" s="433">
        <v>317</v>
      </c>
      <c r="C121" s="435">
        <v>42906</v>
      </c>
      <c r="D121" s="444" t="s">
        <v>219</v>
      </c>
      <c r="E121" s="449" t="s">
        <v>221</v>
      </c>
      <c r="F121" s="444"/>
      <c r="G121" s="444"/>
      <c r="H121" s="444"/>
      <c r="I121" s="444"/>
      <c r="J121" s="444"/>
      <c r="K121" s="444"/>
      <c r="L121" s="448"/>
      <c r="M121" s="448"/>
      <c r="N121" s="448"/>
      <c r="O121" s="444" t="s">
        <v>221</v>
      </c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8"/>
    </row>
    <row r="122" spans="1:31" s="131" customFormat="1" ht="15.75" thickBot="1">
      <c r="A122" s="443">
        <f t="shared" si="1"/>
        <v>73</v>
      </c>
      <c r="B122" s="433">
        <v>323</v>
      </c>
      <c r="C122" s="435">
        <v>42916</v>
      </c>
      <c r="D122" s="444" t="s">
        <v>219</v>
      </c>
      <c r="E122" s="449" t="s">
        <v>221</v>
      </c>
      <c r="F122" s="444"/>
      <c r="G122" s="444"/>
      <c r="H122" s="444"/>
      <c r="I122" s="444"/>
      <c r="J122" s="444"/>
      <c r="K122" s="444"/>
      <c r="L122" s="448"/>
      <c r="M122" s="448"/>
      <c r="N122" s="448"/>
      <c r="O122" s="444" t="s">
        <v>221</v>
      </c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</row>
    <row r="123" spans="1:31" s="131" customFormat="1" ht="15.75" thickBot="1">
      <c r="A123" s="443">
        <f t="shared" si="1"/>
        <v>74</v>
      </c>
      <c r="B123" s="433">
        <v>326</v>
      </c>
      <c r="C123" s="435">
        <v>42920</v>
      </c>
      <c r="D123" s="444" t="s">
        <v>219</v>
      </c>
      <c r="E123" s="446" t="s">
        <v>221</v>
      </c>
      <c r="F123" s="444"/>
      <c r="G123" s="444"/>
      <c r="H123" s="444"/>
      <c r="I123" s="444"/>
      <c r="J123" s="444"/>
      <c r="K123" s="444"/>
      <c r="L123" s="448"/>
      <c r="M123" s="448"/>
      <c r="N123" s="448"/>
      <c r="O123" s="444" t="s">
        <v>221</v>
      </c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  <c r="AD123" s="448"/>
      <c r="AE123" s="448"/>
    </row>
    <row r="124" spans="1:31" s="131" customFormat="1" ht="15.75" thickBot="1">
      <c r="A124" s="443">
        <f t="shared" si="1"/>
        <v>75</v>
      </c>
      <c r="B124" s="433">
        <v>331</v>
      </c>
      <c r="C124" s="435">
        <v>42927</v>
      </c>
      <c r="D124" s="444" t="s">
        <v>219</v>
      </c>
      <c r="E124" s="446"/>
      <c r="F124" s="444"/>
      <c r="G124" s="444"/>
      <c r="H124" s="446" t="s">
        <v>221</v>
      </c>
      <c r="I124" s="444"/>
      <c r="J124" s="444"/>
      <c r="K124" s="444"/>
      <c r="L124" s="448"/>
      <c r="M124" s="448"/>
      <c r="N124" s="448"/>
      <c r="O124" s="444" t="s">
        <v>221</v>
      </c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</row>
    <row r="125" spans="1:31" s="131" customFormat="1" ht="15.75" thickBot="1">
      <c r="A125" s="443">
        <f t="shared" si="1"/>
        <v>76</v>
      </c>
      <c r="B125" s="433">
        <v>333</v>
      </c>
      <c r="C125" s="435">
        <v>42928</v>
      </c>
      <c r="D125" s="444" t="s">
        <v>219</v>
      </c>
      <c r="E125" s="449" t="s">
        <v>221</v>
      </c>
      <c r="F125" s="444"/>
      <c r="G125" s="444"/>
      <c r="H125" s="444"/>
      <c r="I125" s="444"/>
      <c r="J125" s="444"/>
      <c r="K125" s="444"/>
      <c r="L125" s="448"/>
      <c r="M125" s="448"/>
      <c r="N125" s="448"/>
      <c r="O125" s="444" t="s">
        <v>221</v>
      </c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448"/>
      <c r="AC125" s="448"/>
      <c r="AD125" s="448"/>
      <c r="AE125" s="448"/>
    </row>
    <row r="126" spans="1:31" s="131" customFormat="1" ht="15.75" thickBot="1">
      <c r="A126" s="443">
        <f t="shared" si="1"/>
        <v>77</v>
      </c>
      <c r="B126" s="438">
        <v>336</v>
      </c>
      <c r="C126" s="437">
        <v>42933</v>
      </c>
      <c r="D126" s="444" t="s">
        <v>219</v>
      </c>
      <c r="E126" s="449" t="s">
        <v>221</v>
      </c>
      <c r="F126" s="444"/>
      <c r="G126" s="444"/>
      <c r="H126" s="444"/>
      <c r="I126" s="444"/>
      <c r="J126" s="444"/>
      <c r="K126" s="444"/>
      <c r="L126" s="448"/>
      <c r="M126" s="448"/>
      <c r="N126" s="448"/>
      <c r="O126" s="451" t="s">
        <v>221</v>
      </c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</row>
    <row r="127" spans="1:31" s="131" customFormat="1" ht="15.75" thickBot="1">
      <c r="A127" s="443">
        <f t="shared" si="1"/>
        <v>78</v>
      </c>
      <c r="B127" s="433">
        <v>337</v>
      </c>
      <c r="C127" s="435">
        <v>42936</v>
      </c>
      <c r="D127" s="444" t="s">
        <v>219</v>
      </c>
      <c r="E127" s="449" t="s">
        <v>221</v>
      </c>
      <c r="F127" s="444"/>
      <c r="G127" s="444"/>
      <c r="H127" s="444"/>
      <c r="I127" s="444"/>
      <c r="J127" s="444"/>
      <c r="K127" s="444"/>
      <c r="L127" s="448"/>
      <c r="M127" s="448"/>
      <c r="N127" s="448"/>
      <c r="O127" s="449" t="s">
        <v>221</v>
      </c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  <c r="Z127" s="448"/>
      <c r="AA127" s="448"/>
      <c r="AB127" s="448"/>
      <c r="AC127" s="448"/>
      <c r="AD127" s="448"/>
      <c r="AE127" s="448"/>
    </row>
    <row r="128" spans="1:31" s="131" customFormat="1" ht="15.75" thickBot="1">
      <c r="A128" s="443">
        <f t="shared" si="1"/>
        <v>79</v>
      </c>
      <c r="B128" s="433">
        <v>370</v>
      </c>
      <c r="C128" s="435">
        <v>42962</v>
      </c>
      <c r="D128" s="444" t="s">
        <v>219</v>
      </c>
      <c r="E128" s="446" t="s">
        <v>221</v>
      </c>
      <c r="F128" s="444"/>
      <c r="G128" s="444"/>
      <c r="H128" s="444"/>
      <c r="I128" s="444"/>
      <c r="J128" s="444"/>
      <c r="K128" s="444"/>
      <c r="L128" s="448"/>
      <c r="M128" s="448"/>
      <c r="N128" s="448"/>
      <c r="O128" s="449" t="s">
        <v>221</v>
      </c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448"/>
      <c r="AC128" s="448"/>
      <c r="AD128" s="448"/>
      <c r="AE128" s="448"/>
    </row>
    <row r="129" spans="1:31" s="131" customFormat="1" ht="15.75" thickBot="1">
      <c r="A129" s="443">
        <f t="shared" si="1"/>
        <v>80</v>
      </c>
      <c r="B129" s="433">
        <v>377</v>
      </c>
      <c r="C129" s="435">
        <v>42965</v>
      </c>
      <c r="D129" s="444" t="s">
        <v>219</v>
      </c>
      <c r="E129" s="446"/>
      <c r="F129" s="444"/>
      <c r="G129" s="444"/>
      <c r="H129" s="446" t="s">
        <v>221</v>
      </c>
      <c r="I129" s="444"/>
      <c r="J129" s="444"/>
      <c r="K129" s="444"/>
      <c r="L129" s="448"/>
      <c r="M129" s="448"/>
      <c r="N129" s="448"/>
      <c r="O129" s="449" t="s">
        <v>221</v>
      </c>
      <c r="P129" s="448"/>
      <c r="Q129" s="448"/>
      <c r="R129" s="448"/>
      <c r="S129" s="448"/>
      <c r="T129" s="448"/>
      <c r="U129" s="448"/>
      <c r="V129" s="448"/>
      <c r="W129" s="448"/>
      <c r="X129" s="448"/>
      <c r="Y129" s="448"/>
      <c r="Z129" s="448"/>
      <c r="AA129" s="448"/>
      <c r="AB129" s="448"/>
      <c r="AC129" s="448"/>
      <c r="AD129" s="448"/>
      <c r="AE129" s="448"/>
    </row>
    <row r="130" spans="1:31" s="131" customFormat="1" ht="15.75" thickBot="1">
      <c r="A130" s="443">
        <f t="shared" si="1"/>
        <v>81</v>
      </c>
      <c r="B130" s="433">
        <v>400</v>
      </c>
      <c r="C130" s="435">
        <v>42986</v>
      </c>
      <c r="D130" s="444" t="s">
        <v>219</v>
      </c>
      <c r="E130" s="449" t="s">
        <v>221</v>
      </c>
      <c r="F130" s="444"/>
      <c r="G130" s="444"/>
      <c r="H130" s="444"/>
      <c r="I130" s="444"/>
      <c r="J130" s="444"/>
      <c r="K130" s="444"/>
      <c r="L130" s="448"/>
      <c r="M130" s="448"/>
      <c r="N130" s="448"/>
      <c r="O130" s="449" t="s">
        <v>221</v>
      </c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8"/>
      <c r="AA130" s="448"/>
      <c r="AB130" s="448"/>
      <c r="AC130" s="448"/>
      <c r="AD130" s="448"/>
      <c r="AE130" s="448"/>
    </row>
    <row r="131" spans="1:31" s="131" customFormat="1" ht="15.75" thickBot="1">
      <c r="A131" s="443">
        <f t="shared" si="1"/>
        <v>82</v>
      </c>
      <c r="B131" s="433">
        <v>418</v>
      </c>
      <c r="C131" s="435">
        <v>42997</v>
      </c>
      <c r="D131" s="444" t="s">
        <v>219</v>
      </c>
      <c r="E131" s="449" t="s">
        <v>221</v>
      </c>
      <c r="F131" s="444"/>
      <c r="G131" s="444"/>
      <c r="H131" s="444"/>
      <c r="I131" s="444"/>
      <c r="J131" s="444"/>
      <c r="K131" s="444"/>
      <c r="L131" s="448"/>
      <c r="M131" s="448"/>
      <c r="N131" s="448"/>
      <c r="O131" s="449" t="s">
        <v>221</v>
      </c>
      <c r="P131" s="448"/>
      <c r="Q131" s="448"/>
      <c r="R131" s="448"/>
      <c r="S131" s="448"/>
      <c r="T131" s="448"/>
      <c r="U131" s="448"/>
      <c r="V131" s="448"/>
      <c r="W131" s="448"/>
      <c r="X131" s="448"/>
      <c r="Y131" s="448"/>
      <c r="Z131" s="448"/>
      <c r="AA131" s="448"/>
      <c r="AB131" s="448"/>
      <c r="AC131" s="448"/>
      <c r="AD131" s="448"/>
      <c r="AE131" s="448"/>
    </row>
    <row r="132" spans="1:31" s="131" customFormat="1" ht="15.75" thickBot="1">
      <c r="A132" s="443">
        <f t="shared" si="1"/>
        <v>83</v>
      </c>
      <c r="B132" s="433">
        <v>425</v>
      </c>
      <c r="C132" s="435">
        <v>42999</v>
      </c>
      <c r="D132" s="444" t="s">
        <v>219</v>
      </c>
      <c r="E132" s="449" t="s">
        <v>221</v>
      </c>
      <c r="F132" s="444"/>
      <c r="G132" s="444"/>
      <c r="H132" s="444"/>
      <c r="I132" s="444"/>
      <c r="J132" s="444"/>
      <c r="K132" s="444"/>
      <c r="L132" s="448"/>
      <c r="M132" s="448"/>
      <c r="N132" s="448"/>
      <c r="O132" s="449" t="s">
        <v>221</v>
      </c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</row>
    <row r="133" spans="1:31" s="131" customFormat="1" ht="15.75" thickBot="1">
      <c r="A133" s="443">
        <f t="shared" si="1"/>
        <v>84</v>
      </c>
      <c r="B133" s="433">
        <v>430</v>
      </c>
      <c r="C133" s="435">
        <v>43005</v>
      </c>
      <c r="D133" s="444" t="s">
        <v>219</v>
      </c>
      <c r="E133" s="449" t="s">
        <v>221</v>
      </c>
      <c r="F133" s="444"/>
      <c r="G133" s="444"/>
      <c r="H133" s="444"/>
      <c r="I133" s="444"/>
      <c r="J133" s="444"/>
      <c r="K133" s="444"/>
      <c r="L133" s="448"/>
      <c r="M133" s="448"/>
      <c r="N133" s="448"/>
      <c r="O133" s="449" t="s">
        <v>221</v>
      </c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  <c r="Z133" s="448"/>
      <c r="AA133" s="448"/>
      <c r="AB133" s="448"/>
      <c r="AC133" s="448"/>
      <c r="AD133" s="448"/>
      <c r="AE133" s="448"/>
    </row>
    <row r="134" spans="1:31" s="131" customFormat="1" ht="15.75" thickBot="1">
      <c r="A134" s="443">
        <f t="shared" si="1"/>
        <v>85</v>
      </c>
      <c r="B134" s="438" t="s">
        <v>735</v>
      </c>
      <c r="C134" s="437">
        <v>43006</v>
      </c>
      <c r="D134" s="444" t="s">
        <v>219</v>
      </c>
      <c r="E134" s="449" t="s">
        <v>221</v>
      </c>
      <c r="F134" s="444"/>
      <c r="G134" s="444"/>
      <c r="H134" s="444"/>
      <c r="I134" s="444"/>
      <c r="J134" s="444"/>
      <c r="K134" s="444"/>
      <c r="L134" s="448"/>
      <c r="M134" s="448"/>
      <c r="N134" s="448"/>
      <c r="O134" s="449" t="s">
        <v>221</v>
      </c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</row>
    <row r="135" spans="1:31" s="131" customFormat="1" ht="15.75" thickBot="1">
      <c r="A135" s="443">
        <f t="shared" si="1"/>
        <v>86</v>
      </c>
      <c r="B135" s="433">
        <v>440</v>
      </c>
      <c r="C135" s="435">
        <v>43019</v>
      </c>
      <c r="D135" s="444" t="s">
        <v>219</v>
      </c>
      <c r="E135" s="446" t="s">
        <v>221</v>
      </c>
      <c r="F135" s="444"/>
      <c r="G135" s="444"/>
      <c r="H135" s="444"/>
      <c r="I135" s="444"/>
      <c r="J135" s="444"/>
      <c r="K135" s="444"/>
      <c r="L135" s="448"/>
      <c r="M135" s="448"/>
      <c r="N135" s="448"/>
      <c r="O135" s="449" t="s">
        <v>221</v>
      </c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8"/>
    </row>
    <row r="136" spans="1:31" s="131" customFormat="1" ht="15.75" thickBot="1">
      <c r="A136" s="443">
        <f t="shared" si="1"/>
        <v>87</v>
      </c>
      <c r="B136" s="433">
        <v>458</v>
      </c>
      <c r="C136" s="435">
        <v>43028</v>
      </c>
      <c r="D136" s="444" t="s">
        <v>219</v>
      </c>
      <c r="E136" s="446"/>
      <c r="F136" s="444"/>
      <c r="G136" s="444"/>
      <c r="H136" s="446" t="s">
        <v>221</v>
      </c>
      <c r="I136" s="444"/>
      <c r="J136" s="444"/>
      <c r="K136" s="444"/>
      <c r="L136" s="448"/>
      <c r="M136" s="448"/>
      <c r="N136" s="448"/>
      <c r="O136" s="449" t="s">
        <v>221</v>
      </c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</row>
    <row r="137" spans="1:31" s="131" customFormat="1" ht="15.75" thickBot="1">
      <c r="A137" s="443">
        <f t="shared" si="1"/>
        <v>88</v>
      </c>
      <c r="B137" s="433">
        <v>462</v>
      </c>
      <c r="C137" s="435">
        <v>43034</v>
      </c>
      <c r="D137" s="444" t="s">
        <v>219</v>
      </c>
      <c r="E137" s="449" t="s">
        <v>221</v>
      </c>
      <c r="F137" s="444"/>
      <c r="G137" s="444"/>
      <c r="H137" s="446"/>
      <c r="I137" s="444"/>
      <c r="J137" s="444"/>
      <c r="K137" s="444"/>
      <c r="L137" s="448"/>
      <c r="M137" s="448"/>
      <c r="N137" s="448"/>
      <c r="O137" s="449" t="s">
        <v>221</v>
      </c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</row>
    <row r="138" spans="1:31" s="131" customFormat="1" ht="15.75" thickBot="1">
      <c r="A138" s="443">
        <f t="shared" si="1"/>
        <v>89</v>
      </c>
      <c r="B138" s="433">
        <v>464</v>
      </c>
      <c r="C138" s="435">
        <v>43040</v>
      </c>
      <c r="D138" s="444" t="s">
        <v>219</v>
      </c>
      <c r="E138" s="449" t="s">
        <v>221</v>
      </c>
      <c r="F138" s="444"/>
      <c r="G138" s="444"/>
      <c r="H138" s="446"/>
      <c r="I138" s="444"/>
      <c r="J138" s="444"/>
      <c r="K138" s="444"/>
      <c r="L138" s="448"/>
      <c r="M138" s="448"/>
      <c r="N138" s="448"/>
      <c r="O138" s="449" t="s">
        <v>221</v>
      </c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  <c r="AA138" s="448"/>
      <c r="AB138" s="448"/>
      <c r="AC138" s="448"/>
      <c r="AD138" s="448"/>
      <c r="AE138" s="448"/>
    </row>
    <row r="139" spans="1:31" s="131" customFormat="1" ht="15.75" thickBot="1">
      <c r="A139" s="443">
        <f t="shared" si="1"/>
        <v>90</v>
      </c>
      <c r="B139" s="433">
        <v>486</v>
      </c>
      <c r="C139" s="435">
        <v>43055</v>
      </c>
      <c r="D139" s="444" t="s">
        <v>219</v>
      </c>
      <c r="E139" s="449" t="s">
        <v>221</v>
      </c>
      <c r="F139" s="444"/>
      <c r="G139" s="444"/>
      <c r="H139" s="446"/>
      <c r="I139" s="444"/>
      <c r="J139" s="444"/>
      <c r="K139" s="444"/>
      <c r="L139" s="448"/>
      <c r="M139" s="448"/>
      <c r="N139" s="448"/>
      <c r="O139" s="446" t="s">
        <v>221</v>
      </c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448"/>
      <c r="AC139" s="448"/>
      <c r="AD139" s="448"/>
      <c r="AE139" s="448"/>
    </row>
    <row r="140" spans="1:31" s="131" customFormat="1" ht="15.75" thickBot="1">
      <c r="A140" s="443">
        <f t="shared" si="1"/>
        <v>91</v>
      </c>
      <c r="B140" s="433">
        <v>491</v>
      </c>
      <c r="C140" s="435">
        <v>43059</v>
      </c>
      <c r="D140" s="444" t="s">
        <v>219</v>
      </c>
      <c r="E140" s="449" t="s">
        <v>221</v>
      </c>
      <c r="F140" s="444"/>
      <c r="G140" s="444"/>
      <c r="H140" s="446"/>
      <c r="I140" s="444"/>
      <c r="J140" s="444"/>
      <c r="K140" s="444"/>
      <c r="L140" s="448"/>
      <c r="M140" s="448"/>
      <c r="N140" s="448"/>
      <c r="O140" s="452" t="s">
        <v>221</v>
      </c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  <c r="AA140" s="448"/>
      <c r="AB140" s="448"/>
      <c r="AC140" s="448"/>
      <c r="AD140" s="448"/>
      <c r="AE140" s="448"/>
    </row>
    <row r="141" spans="1:31" s="131" customFormat="1" ht="15.75" thickBot="1">
      <c r="A141" s="443">
        <f t="shared" si="1"/>
        <v>92</v>
      </c>
      <c r="B141" s="433">
        <v>493</v>
      </c>
      <c r="C141" s="435">
        <v>43060</v>
      </c>
      <c r="D141" s="444" t="s">
        <v>219</v>
      </c>
      <c r="E141" s="449" t="s">
        <v>221</v>
      </c>
      <c r="F141" s="444"/>
      <c r="G141" s="444"/>
      <c r="H141" s="446"/>
      <c r="I141" s="444"/>
      <c r="J141" s="444"/>
      <c r="K141" s="444"/>
      <c r="L141" s="448"/>
      <c r="M141" s="448"/>
      <c r="N141" s="448"/>
      <c r="O141" s="449" t="s">
        <v>221</v>
      </c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448"/>
      <c r="AD141" s="448"/>
      <c r="AE141" s="448"/>
    </row>
    <row r="142" spans="1:31" s="131" customFormat="1" ht="15.75" thickBot="1">
      <c r="A142" s="443">
        <f t="shared" si="1"/>
        <v>93</v>
      </c>
      <c r="B142" s="433">
        <v>496</v>
      </c>
      <c r="C142" s="435">
        <v>43062</v>
      </c>
      <c r="D142" s="444" t="s">
        <v>219</v>
      </c>
      <c r="E142" s="449" t="s">
        <v>221</v>
      </c>
      <c r="F142" s="444"/>
      <c r="G142" s="444"/>
      <c r="H142" s="446"/>
      <c r="I142" s="444"/>
      <c r="J142" s="444"/>
      <c r="K142" s="444"/>
      <c r="L142" s="448"/>
      <c r="M142" s="448"/>
      <c r="N142" s="448"/>
      <c r="O142" s="446" t="s">
        <v>221</v>
      </c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  <c r="AA142" s="448"/>
      <c r="AB142" s="448"/>
      <c r="AC142" s="448"/>
      <c r="AD142" s="448"/>
      <c r="AE142" s="448"/>
    </row>
    <row r="143" spans="1:31" s="131" customFormat="1" ht="15.75" thickBot="1">
      <c r="A143" s="443">
        <f t="shared" si="1"/>
        <v>94</v>
      </c>
      <c r="B143" s="433">
        <v>499</v>
      </c>
      <c r="C143" s="435">
        <v>43063</v>
      </c>
      <c r="D143" s="444" t="s">
        <v>219</v>
      </c>
      <c r="E143" s="449" t="s">
        <v>221</v>
      </c>
      <c r="F143" s="444"/>
      <c r="G143" s="444"/>
      <c r="H143" s="446"/>
      <c r="I143" s="444"/>
      <c r="J143" s="444"/>
      <c r="K143" s="444"/>
      <c r="L143" s="448"/>
      <c r="M143" s="448"/>
      <c r="N143" s="448"/>
      <c r="O143" s="452" t="s">
        <v>221</v>
      </c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  <c r="Z143" s="448"/>
      <c r="AA143" s="448"/>
      <c r="AB143" s="448"/>
      <c r="AC143" s="448"/>
      <c r="AD143" s="448"/>
      <c r="AE143" s="448"/>
    </row>
    <row r="144" spans="1:31" s="131" customFormat="1" ht="15.75" thickBot="1">
      <c r="A144" s="443">
        <f t="shared" si="1"/>
        <v>95</v>
      </c>
      <c r="B144" s="433">
        <v>547</v>
      </c>
      <c r="C144" s="435">
        <v>43088</v>
      </c>
      <c r="D144" s="444" t="s">
        <v>219</v>
      </c>
      <c r="E144" s="449" t="s">
        <v>221</v>
      </c>
      <c r="F144" s="444"/>
      <c r="G144" s="444"/>
      <c r="H144" s="446"/>
      <c r="I144" s="444"/>
      <c r="J144" s="444"/>
      <c r="K144" s="444"/>
      <c r="L144" s="448"/>
      <c r="M144" s="448"/>
      <c r="N144" s="448"/>
      <c r="O144" s="449" t="s">
        <v>221</v>
      </c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  <c r="Z144" s="448"/>
      <c r="AA144" s="448"/>
      <c r="AB144" s="448"/>
      <c r="AC144" s="448"/>
      <c r="AD144" s="448"/>
      <c r="AE144" s="448"/>
    </row>
    <row r="145" spans="1:31" s="131" customFormat="1" ht="15.75" thickBot="1">
      <c r="A145" s="443">
        <f t="shared" si="1"/>
        <v>96</v>
      </c>
      <c r="B145" s="433">
        <v>546</v>
      </c>
      <c r="C145" s="435">
        <v>43088</v>
      </c>
      <c r="D145" s="444" t="s">
        <v>219</v>
      </c>
      <c r="E145" s="449" t="s">
        <v>221</v>
      </c>
      <c r="F145" s="444"/>
      <c r="G145" s="444"/>
      <c r="H145" s="446"/>
      <c r="I145" s="444"/>
      <c r="J145" s="444"/>
      <c r="K145" s="444"/>
      <c r="L145" s="448"/>
      <c r="M145" s="448"/>
      <c r="N145" s="448"/>
      <c r="O145" s="449" t="s">
        <v>221</v>
      </c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  <c r="Z145" s="448"/>
      <c r="AA145" s="448"/>
      <c r="AB145" s="448"/>
      <c r="AC145" s="448"/>
      <c r="AD145" s="448"/>
      <c r="AE145" s="448"/>
    </row>
    <row r="146" spans="1:31" s="131" customFormat="1" ht="15.75" thickBot="1">
      <c r="A146" s="443">
        <f t="shared" si="1"/>
        <v>97</v>
      </c>
      <c r="B146" s="439">
        <v>545</v>
      </c>
      <c r="C146" s="437">
        <v>43088</v>
      </c>
      <c r="D146" s="451" t="s">
        <v>219</v>
      </c>
      <c r="E146" s="449" t="s">
        <v>221</v>
      </c>
      <c r="F146" s="444"/>
      <c r="G146" s="444"/>
      <c r="H146" s="446"/>
      <c r="I146" s="444"/>
      <c r="J146" s="444"/>
      <c r="K146" s="444"/>
      <c r="L146" s="448"/>
      <c r="M146" s="448"/>
      <c r="N146" s="448"/>
      <c r="O146" s="446" t="s">
        <v>221</v>
      </c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8"/>
      <c r="AC146" s="448"/>
      <c r="AD146" s="448"/>
      <c r="AE146" s="448"/>
    </row>
    <row r="147" spans="1:31" s="131" customFormat="1" ht="15.75" thickBot="1">
      <c r="A147" s="443">
        <f t="shared" si="1"/>
        <v>98</v>
      </c>
      <c r="B147" s="440">
        <v>556</v>
      </c>
      <c r="C147" s="441">
        <v>43097</v>
      </c>
      <c r="D147" s="453" t="s">
        <v>219</v>
      </c>
      <c r="E147" s="446" t="s">
        <v>221</v>
      </c>
      <c r="F147" s="444"/>
      <c r="G147" s="444"/>
      <c r="H147" s="446"/>
      <c r="I147" s="444"/>
      <c r="J147" s="444"/>
      <c r="K147" s="444"/>
      <c r="L147" s="446"/>
      <c r="M147" s="447"/>
      <c r="N147" s="447"/>
      <c r="O147" s="446" t="s">
        <v>221</v>
      </c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</row>
  </sheetData>
  <sheetProtection/>
  <mergeCells count="13">
    <mergeCell ref="P4:V4"/>
    <mergeCell ref="W4:Z4"/>
    <mergeCell ref="AA4:AC4"/>
    <mergeCell ref="AD4:AE4"/>
    <mergeCell ref="B7:J7"/>
    <mergeCell ref="B49:J49"/>
    <mergeCell ref="A1:O1"/>
    <mergeCell ref="A4:A5"/>
    <mergeCell ref="B4:B5"/>
    <mergeCell ref="C4:C5"/>
    <mergeCell ref="D4:D5"/>
    <mergeCell ref="E4:I4"/>
    <mergeCell ref="J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F221"/>
  <sheetViews>
    <sheetView zoomScalePageLayoutView="0" workbookViewId="0" topLeftCell="A201">
      <selection activeCell="A217" sqref="A217:F217"/>
    </sheetView>
  </sheetViews>
  <sheetFormatPr defaultColWidth="9.140625" defaultRowHeight="15"/>
  <cols>
    <col min="1" max="1" width="9.00390625" style="0" customWidth="1"/>
    <col min="2" max="2" width="10.421875" style="0" customWidth="1"/>
    <col min="3" max="3" width="33.421875" style="0" customWidth="1"/>
    <col min="4" max="4" width="18.28125" style="0" customWidth="1"/>
    <col min="5" max="5" width="4.421875" style="0" customWidth="1"/>
    <col min="6" max="6" width="25.140625" style="0" customWidth="1"/>
    <col min="7" max="7" width="4.421875" style="0" customWidth="1"/>
    <col min="8" max="8" width="5.8515625" style="0" customWidth="1"/>
    <col min="9" max="9" width="10.140625" style="0" customWidth="1"/>
    <col min="10" max="10" width="31.421875" style="0" customWidth="1"/>
    <col min="11" max="11" width="5.7109375" style="0" customWidth="1"/>
    <col min="14" max="14" width="12.00390625" style="0" customWidth="1"/>
  </cols>
  <sheetData>
    <row r="1" spans="1:11" s="162" customFormat="1" ht="32.25" customHeight="1">
      <c r="A1" s="746" t="s">
        <v>253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</row>
    <row r="2" spans="1:11" s="162" customFormat="1" ht="20.25">
      <c r="A2" s="747" t="s">
        <v>506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</row>
    <row r="3" spans="1:9" s="162" customFormat="1" ht="7.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9" s="127" customFormat="1" ht="7.5" customHeight="1">
      <c r="A4" s="203"/>
      <c r="B4" s="204"/>
      <c r="C4" s="205"/>
      <c r="D4" s="205"/>
      <c r="E4" s="205"/>
      <c r="F4" s="206"/>
      <c r="G4" s="207"/>
      <c r="H4" s="207"/>
      <c r="I4" s="207"/>
    </row>
    <row r="5" spans="1:239" s="127" customFormat="1" ht="176.25" customHeight="1">
      <c r="A5" s="753" t="s">
        <v>508</v>
      </c>
      <c r="B5" s="754" t="s">
        <v>710</v>
      </c>
      <c r="C5" s="755" t="s">
        <v>256</v>
      </c>
      <c r="D5" s="755"/>
      <c r="E5" s="755"/>
      <c r="F5" s="744" t="s">
        <v>257</v>
      </c>
      <c r="G5" s="745" t="s">
        <v>509</v>
      </c>
      <c r="H5" s="745" t="s">
        <v>510</v>
      </c>
      <c r="I5" s="745" t="s">
        <v>708</v>
      </c>
      <c r="J5" s="744" t="s">
        <v>511</v>
      </c>
      <c r="K5" s="741" t="s">
        <v>507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  <c r="FJ5" s="304"/>
      <c r="FK5" s="304"/>
      <c r="FL5" s="304"/>
      <c r="FM5" s="304"/>
      <c r="FN5" s="304"/>
      <c r="FO5" s="304"/>
      <c r="FP5" s="304"/>
      <c r="FQ5" s="304"/>
      <c r="FR5" s="304"/>
      <c r="FS5" s="304"/>
      <c r="FT5" s="304"/>
      <c r="FU5" s="304"/>
      <c r="FV5" s="304"/>
      <c r="FW5" s="304"/>
      <c r="FX5" s="304"/>
      <c r="FY5" s="304"/>
      <c r="FZ5" s="304"/>
      <c r="GA5" s="304"/>
      <c r="GB5" s="304"/>
      <c r="GC5" s="304"/>
      <c r="GD5" s="304"/>
      <c r="GE5" s="304"/>
      <c r="GF5" s="304"/>
      <c r="GG5" s="304"/>
      <c r="GH5" s="304"/>
      <c r="GI5" s="304"/>
      <c r="GJ5" s="304"/>
      <c r="GK5" s="304"/>
      <c r="GL5" s="304"/>
      <c r="GM5" s="304"/>
      <c r="GN5" s="304"/>
      <c r="GO5" s="304"/>
      <c r="GP5" s="304"/>
      <c r="GQ5" s="304"/>
      <c r="GR5" s="304"/>
      <c r="GS5" s="304"/>
      <c r="GT5" s="304"/>
      <c r="GU5" s="304"/>
      <c r="GV5" s="304"/>
      <c r="GW5" s="304"/>
      <c r="GX5" s="304"/>
      <c r="GY5" s="304"/>
      <c r="GZ5" s="304"/>
      <c r="HA5" s="304"/>
      <c r="HB5" s="304"/>
      <c r="HC5" s="304"/>
      <c r="HD5" s="304"/>
      <c r="HE5" s="304"/>
      <c r="HF5" s="304"/>
      <c r="HG5" s="304"/>
      <c r="HH5" s="304"/>
      <c r="HI5" s="304"/>
      <c r="HJ5" s="304"/>
      <c r="HK5" s="304"/>
      <c r="HL5" s="304"/>
      <c r="HM5" s="304"/>
      <c r="HN5" s="304"/>
      <c r="HO5" s="304"/>
      <c r="HP5" s="304"/>
      <c r="HQ5" s="304"/>
      <c r="HR5" s="304"/>
      <c r="HS5" s="304"/>
      <c r="HT5" s="304"/>
      <c r="HU5" s="304"/>
      <c r="HV5" s="304"/>
      <c r="HW5" s="304"/>
      <c r="HX5" s="304"/>
      <c r="HY5" s="304"/>
      <c r="HZ5" s="304"/>
      <c r="IA5" s="304"/>
      <c r="IB5" s="304"/>
      <c r="IC5" s="304"/>
      <c r="ID5" s="304"/>
      <c r="IE5" s="304"/>
    </row>
    <row r="6" spans="1:239" s="127" customFormat="1" ht="75" customHeight="1">
      <c r="A6" s="753"/>
      <c r="B6" s="754"/>
      <c r="C6" s="755"/>
      <c r="D6" s="755"/>
      <c r="E6" s="755"/>
      <c r="F6" s="744"/>
      <c r="G6" s="745"/>
      <c r="H6" s="745"/>
      <c r="I6" s="745"/>
      <c r="J6" s="744"/>
      <c r="K6" s="742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  <c r="IE6" s="304"/>
    </row>
    <row r="7" spans="1:239" s="127" customFormat="1" ht="63" customHeight="1">
      <c r="A7" s="753"/>
      <c r="B7" s="754"/>
      <c r="C7" s="755"/>
      <c r="D7" s="755"/>
      <c r="E7" s="755"/>
      <c r="F7" s="744"/>
      <c r="G7" s="745"/>
      <c r="H7" s="745"/>
      <c r="I7" s="745"/>
      <c r="J7" s="744"/>
      <c r="K7" s="743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04"/>
      <c r="FK7" s="304"/>
      <c r="FL7" s="304"/>
      <c r="FM7" s="304"/>
      <c r="FN7" s="304"/>
      <c r="FO7" s="304"/>
      <c r="FP7" s="304"/>
      <c r="FQ7" s="304"/>
      <c r="FR7" s="304"/>
      <c r="FS7" s="304"/>
      <c r="FT7" s="304"/>
      <c r="FU7" s="304"/>
      <c r="FV7" s="304"/>
      <c r="FW7" s="304"/>
      <c r="FX7" s="304"/>
      <c r="FY7" s="304"/>
      <c r="FZ7" s="304"/>
      <c r="GA7" s="304"/>
      <c r="GB7" s="304"/>
      <c r="GC7" s="304"/>
      <c r="GD7" s="304"/>
      <c r="GE7" s="304"/>
      <c r="GF7" s="304"/>
      <c r="GG7" s="304"/>
      <c r="GH7" s="304"/>
      <c r="GI7" s="304"/>
      <c r="GJ7" s="304"/>
      <c r="GK7" s="304"/>
      <c r="GL7" s="304"/>
      <c r="GM7" s="304"/>
      <c r="GN7" s="304"/>
      <c r="GO7" s="304"/>
      <c r="GP7" s="304"/>
      <c r="GQ7" s="304"/>
      <c r="GR7" s="304"/>
      <c r="GS7" s="304"/>
      <c r="GT7" s="304"/>
      <c r="GU7" s="304"/>
      <c r="GV7" s="304"/>
      <c r="GW7" s="304"/>
      <c r="GX7" s="304"/>
      <c r="GY7" s="304"/>
      <c r="GZ7" s="304"/>
      <c r="HA7" s="304"/>
      <c r="HB7" s="304"/>
      <c r="HC7" s="304"/>
      <c r="HD7" s="304"/>
      <c r="HE7" s="304"/>
      <c r="HF7" s="304"/>
      <c r="HG7" s="304"/>
      <c r="HH7" s="304"/>
      <c r="HI7" s="304"/>
      <c r="HJ7" s="304"/>
      <c r="HK7" s="304"/>
      <c r="HL7" s="304"/>
      <c r="HM7" s="304"/>
      <c r="HN7" s="304"/>
      <c r="HO7" s="304"/>
      <c r="HP7" s="304"/>
      <c r="HQ7" s="304"/>
      <c r="HR7" s="304"/>
      <c r="HS7" s="304"/>
      <c r="HT7" s="304"/>
      <c r="HU7" s="304"/>
      <c r="HV7" s="304"/>
      <c r="HW7" s="304"/>
      <c r="HX7" s="304"/>
      <c r="HY7" s="304"/>
      <c r="HZ7" s="304"/>
      <c r="IA7" s="304"/>
      <c r="IB7" s="304"/>
      <c r="IC7" s="304"/>
      <c r="ID7" s="304"/>
      <c r="IE7" s="304"/>
    </row>
    <row r="8" spans="1:239" s="127" customFormat="1" ht="15.75" customHeight="1">
      <c r="A8" s="367">
        <v>1</v>
      </c>
      <c r="B8" s="367">
        <v>2</v>
      </c>
      <c r="C8" s="367">
        <v>3</v>
      </c>
      <c r="D8" s="367">
        <v>4</v>
      </c>
      <c r="E8" s="367">
        <v>5</v>
      </c>
      <c r="F8" s="367">
        <v>6</v>
      </c>
      <c r="G8" s="367">
        <v>7</v>
      </c>
      <c r="H8" s="367">
        <v>8</v>
      </c>
      <c r="I8" s="367">
        <v>9</v>
      </c>
      <c r="J8" s="367">
        <v>10</v>
      </c>
      <c r="K8" s="367">
        <v>11</v>
      </c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  <c r="HB8" s="304"/>
      <c r="HC8" s="304"/>
      <c r="HD8" s="304"/>
      <c r="HE8" s="304"/>
      <c r="HF8" s="304"/>
      <c r="HG8" s="304"/>
      <c r="HH8" s="304"/>
      <c r="HI8" s="304"/>
      <c r="HJ8" s="304"/>
      <c r="HK8" s="304"/>
      <c r="HL8" s="304"/>
      <c r="HM8" s="304"/>
      <c r="HN8" s="304"/>
      <c r="HO8" s="304"/>
      <c r="HP8" s="304"/>
      <c r="HQ8" s="304"/>
      <c r="HR8" s="304"/>
      <c r="HS8" s="304"/>
      <c r="HT8" s="304"/>
      <c r="HU8" s="304"/>
      <c r="HV8" s="304"/>
      <c r="HW8" s="304"/>
      <c r="HX8" s="304"/>
      <c r="HY8" s="304"/>
      <c r="HZ8" s="304"/>
      <c r="IA8" s="304"/>
      <c r="IB8" s="304"/>
      <c r="IC8" s="304"/>
      <c r="ID8" s="304"/>
      <c r="IE8" s="304"/>
    </row>
    <row r="9" spans="1:239" s="127" customFormat="1" ht="34.5" customHeight="1">
      <c r="A9" s="364">
        <v>1</v>
      </c>
      <c r="B9" s="365">
        <v>42760</v>
      </c>
      <c r="C9" s="364" t="s">
        <v>514</v>
      </c>
      <c r="D9" s="364" t="s">
        <v>515</v>
      </c>
      <c r="E9" s="364">
        <v>10</v>
      </c>
      <c r="F9" s="366" t="s">
        <v>711</v>
      </c>
      <c r="G9" s="364" t="s">
        <v>516</v>
      </c>
      <c r="H9" s="364">
        <v>0.67</v>
      </c>
      <c r="I9" s="364">
        <v>3</v>
      </c>
      <c r="J9" s="364">
        <v>219.99</v>
      </c>
      <c r="K9" s="364">
        <v>1</v>
      </c>
      <c r="L9" s="346"/>
      <c r="M9" s="346">
        <f aca="true" t="shared" si="0" ref="M9:M40">H9*I9</f>
        <v>2.0100000000000002</v>
      </c>
      <c r="N9" s="346">
        <f aca="true" t="shared" si="1" ref="N9:N40">H9*J9</f>
        <v>147.3933</v>
      </c>
      <c r="O9" s="34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6"/>
      <c r="GD9" s="306"/>
      <c r="GE9" s="306"/>
      <c r="GF9" s="306"/>
      <c r="GG9" s="306"/>
      <c r="GH9" s="306"/>
      <c r="GI9" s="306"/>
      <c r="GJ9" s="306"/>
      <c r="GK9" s="306"/>
      <c r="GL9" s="306"/>
      <c r="GM9" s="306"/>
      <c r="GN9" s="306"/>
      <c r="GO9" s="306"/>
      <c r="GP9" s="306"/>
      <c r="GQ9" s="306"/>
      <c r="GR9" s="306"/>
      <c r="GS9" s="306"/>
      <c r="GT9" s="306"/>
      <c r="GU9" s="306"/>
      <c r="GV9" s="306"/>
      <c r="GW9" s="306"/>
      <c r="GX9" s="306"/>
      <c r="GY9" s="306"/>
      <c r="GZ9" s="306"/>
      <c r="HA9" s="306"/>
      <c r="HB9" s="306"/>
      <c r="HC9" s="306"/>
      <c r="HD9" s="306"/>
      <c r="HE9" s="306"/>
      <c r="HF9" s="306"/>
      <c r="HG9" s="306"/>
      <c r="HH9" s="306"/>
      <c r="HI9" s="306"/>
      <c r="HJ9" s="306"/>
      <c r="HK9" s="306"/>
      <c r="HL9" s="306"/>
      <c r="HM9" s="306"/>
      <c r="HN9" s="306"/>
      <c r="HO9" s="306"/>
      <c r="HP9" s="306"/>
      <c r="HQ9" s="306"/>
      <c r="HR9" s="306"/>
      <c r="HS9" s="306"/>
      <c r="HT9" s="306"/>
      <c r="HU9" s="306"/>
      <c r="HV9" s="306"/>
      <c r="HW9" s="306"/>
      <c r="HX9" s="306"/>
      <c r="HY9" s="306"/>
      <c r="HZ9" s="306"/>
      <c r="IA9" s="306"/>
      <c r="IB9" s="306"/>
      <c r="IC9" s="306"/>
      <c r="ID9" s="306"/>
      <c r="IE9" s="306"/>
    </row>
    <row r="10" spans="1:239" s="127" customFormat="1" ht="34.5" customHeight="1">
      <c r="A10" s="307">
        <v>7</v>
      </c>
      <c r="B10" s="357">
        <v>42741</v>
      </c>
      <c r="C10" s="307" t="s">
        <v>517</v>
      </c>
      <c r="D10" s="307" t="s">
        <v>518</v>
      </c>
      <c r="E10" s="307">
        <v>0.4</v>
      </c>
      <c r="F10" s="355" t="s">
        <v>711</v>
      </c>
      <c r="G10" s="307" t="s">
        <v>516</v>
      </c>
      <c r="H10" s="307">
        <v>0.5</v>
      </c>
      <c r="I10" s="307">
        <v>1</v>
      </c>
      <c r="J10" s="307">
        <v>3.92</v>
      </c>
      <c r="K10" s="307">
        <v>1</v>
      </c>
      <c r="L10" s="346"/>
      <c r="M10" s="346">
        <f t="shared" si="0"/>
        <v>0.5</v>
      </c>
      <c r="N10" s="346">
        <f t="shared" si="1"/>
        <v>1.96</v>
      </c>
      <c r="O10" s="34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6"/>
      <c r="GQ10" s="306"/>
      <c r="GR10" s="306"/>
      <c r="GS10" s="306"/>
      <c r="GT10" s="306"/>
      <c r="GU10" s="306"/>
      <c r="GV10" s="306"/>
      <c r="GW10" s="306"/>
      <c r="GX10" s="306"/>
      <c r="GY10" s="306"/>
      <c r="GZ10" s="306"/>
      <c r="HA10" s="306"/>
      <c r="HB10" s="306"/>
      <c r="HC10" s="306"/>
      <c r="HD10" s="306"/>
      <c r="HE10" s="306"/>
      <c r="HF10" s="306"/>
      <c r="HG10" s="306"/>
      <c r="HH10" s="306"/>
      <c r="HI10" s="306"/>
      <c r="HJ10" s="306"/>
      <c r="HK10" s="306"/>
      <c r="HL10" s="306"/>
      <c r="HM10" s="306"/>
      <c r="HN10" s="306"/>
      <c r="HO10" s="306"/>
      <c r="HP10" s="306"/>
      <c r="HQ10" s="306"/>
      <c r="HR10" s="306"/>
      <c r="HS10" s="306"/>
      <c r="HT10" s="306"/>
      <c r="HU10" s="306"/>
      <c r="HV10" s="306"/>
      <c r="HW10" s="306"/>
      <c r="HX10" s="306"/>
      <c r="HY10" s="306"/>
      <c r="HZ10" s="306"/>
      <c r="IA10" s="306"/>
      <c r="IB10" s="306"/>
      <c r="IC10" s="306"/>
      <c r="ID10" s="306"/>
      <c r="IE10" s="306"/>
    </row>
    <row r="11" spans="1:239" s="127" customFormat="1" ht="34.5" customHeight="1">
      <c r="A11" s="305">
        <v>2</v>
      </c>
      <c r="B11" s="356">
        <v>42771</v>
      </c>
      <c r="C11" s="305" t="s">
        <v>514</v>
      </c>
      <c r="D11" s="305" t="s">
        <v>519</v>
      </c>
      <c r="E11" s="305">
        <v>0.4</v>
      </c>
      <c r="F11" s="350" t="s">
        <v>711</v>
      </c>
      <c r="G11" s="305" t="s">
        <v>516</v>
      </c>
      <c r="H11" s="305">
        <v>0.25</v>
      </c>
      <c r="I11" s="305">
        <v>3</v>
      </c>
      <c r="J11" s="305">
        <v>244</v>
      </c>
      <c r="K11" s="305">
        <v>1</v>
      </c>
      <c r="L11" s="346"/>
      <c r="M11" s="346">
        <f t="shared" si="0"/>
        <v>0.75</v>
      </c>
      <c r="N11" s="346">
        <f t="shared" si="1"/>
        <v>61</v>
      </c>
      <c r="O11" s="34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6"/>
      <c r="FL11" s="306"/>
      <c r="FM11" s="306"/>
      <c r="FN11" s="306"/>
      <c r="FO11" s="306"/>
      <c r="FP11" s="306"/>
      <c r="FQ11" s="306"/>
      <c r="FR11" s="306"/>
      <c r="FS11" s="306"/>
      <c r="FT11" s="306"/>
      <c r="FU11" s="306"/>
      <c r="FV11" s="306"/>
      <c r="FW11" s="306"/>
      <c r="FX11" s="306"/>
      <c r="FY11" s="306"/>
      <c r="FZ11" s="306"/>
      <c r="GA11" s="306"/>
      <c r="GB11" s="306"/>
      <c r="GC11" s="306"/>
      <c r="GD11" s="306"/>
      <c r="GE11" s="306"/>
      <c r="GF11" s="306"/>
      <c r="GG11" s="306"/>
      <c r="GH11" s="306"/>
      <c r="GI11" s="306"/>
      <c r="GJ11" s="306"/>
      <c r="GK11" s="306"/>
      <c r="GL11" s="306"/>
      <c r="GM11" s="306"/>
      <c r="GN11" s="306"/>
      <c r="GO11" s="306"/>
      <c r="GP11" s="306"/>
      <c r="GQ11" s="306"/>
      <c r="GR11" s="306"/>
      <c r="GS11" s="306"/>
      <c r="GT11" s="306"/>
      <c r="GU11" s="306"/>
      <c r="GV11" s="306"/>
      <c r="GW11" s="306"/>
      <c r="GX11" s="306"/>
      <c r="GY11" s="306"/>
      <c r="GZ11" s="306"/>
      <c r="HA11" s="306"/>
      <c r="HB11" s="306"/>
      <c r="HC11" s="306"/>
      <c r="HD11" s="306"/>
      <c r="HE11" s="306"/>
      <c r="HF11" s="306"/>
      <c r="HG11" s="306"/>
      <c r="HH11" s="306"/>
      <c r="HI11" s="306"/>
      <c r="HJ11" s="306"/>
      <c r="HK11" s="306"/>
      <c r="HL11" s="306"/>
      <c r="HM11" s="306"/>
      <c r="HN11" s="306"/>
      <c r="HO11" s="306"/>
      <c r="HP11" s="306"/>
      <c r="HQ11" s="306"/>
      <c r="HR11" s="306"/>
      <c r="HS11" s="306"/>
      <c r="HT11" s="306"/>
      <c r="HU11" s="306"/>
      <c r="HV11" s="306"/>
      <c r="HW11" s="306"/>
      <c r="HX11" s="306"/>
      <c r="HY11" s="306"/>
      <c r="HZ11" s="306"/>
      <c r="IA11" s="306"/>
      <c r="IB11" s="306"/>
      <c r="IC11" s="306"/>
      <c r="ID11" s="306"/>
      <c r="IE11" s="306"/>
    </row>
    <row r="12" spans="1:239" s="127" customFormat="1" ht="34.5" customHeight="1">
      <c r="A12" s="307">
        <v>8</v>
      </c>
      <c r="B12" s="357">
        <v>42777</v>
      </c>
      <c r="C12" s="307" t="s">
        <v>517</v>
      </c>
      <c r="D12" s="307" t="s">
        <v>520</v>
      </c>
      <c r="E12" s="307">
        <v>0.4</v>
      </c>
      <c r="F12" s="355" t="s">
        <v>711</v>
      </c>
      <c r="G12" s="307" t="s">
        <v>516</v>
      </c>
      <c r="H12" s="307">
        <v>0.67</v>
      </c>
      <c r="I12" s="307">
        <v>1</v>
      </c>
      <c r="J12" s="307">
        <v>7.36</v>
      </c>
      <c r="K12" s="307">
        <v>1</v>
      </c>
      <c r="L12" s="346"/>
      <c r="M12" s="346">
        <f t="shared" si="0"/>
        <v>0.67</v>
      </c>
      <c r="N12" s="346">
        <f t="shared" si="1"/>
        <v>4.9312000000000005</v>
      </c>
      <c r="O12" s="34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306"/>
      <c r="FN12" s="306"/>
      <c r="FO12" s="306"/>
      <c r="FP12" s="306"/>
      <c r="FQ12" s="306"/>
      <c r="FR12" s="306"/>
      <c r="FS12" s="306"/>
      <c r="FT12" s="306"/>
      <c r="FU12" s="306"/>
      <c r="FV12" s="306"/>
      <c r="FW12" s="306"/>
      <c r="FX12" s="306"/>
      <c r="FY12" s="306"/>
      <c r="FZ12" s="306"/>
      <c r="GA12" s="306"/>
      <c r="GB12" s="306"/>
      <c r="GC12" s="306"/>
      <c r="GD12" s="306"/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  <c r="GQ12" s="306"/>
      <c r="GR12" s="306"/>
      <c r="GS12" s="306"/>
      <c r="GT12" s="306"/>
      <c r="GU12" s="306"/>
      <c r="GV12" s="306"/>
      <c r="GW12" s="306"/>
      <c r="GX12" s="306"/>
      <c r="GY12" s="306"/>
      <c r="GZ12" s="306"/>
      <c r="HA12" s="306"/>
      <c r="HB12" s="306"/>
      <c r="HC12" s="306"/>
      <c r="HD12" s="306"/>
      <c r="HE12" s="306"/>
      <c r="HF12" s="306"/>
      <c r="HG12" s="306"/>
      <c r="HH12" s="306"/>
      <c r="HI12" s="306"/>
      <c r="HJ12" s="306"/>
      <c r="HK12" s="306"/>
      <c r="HL12" s="306"/>
      <c r="HM12" s="306"/>
      <c r="HN12" s="306"/>
      <c r="HO12" s="306"/>
      <c r="HP12" s="306"/>
      <c r="HQ12" s="306"/>
      <c r="HR12" s="306"/>
      <c r="HS12" s="306"/>
      <c r="HT12" s="306"/>
      <c r="HU12" s="306"/>
      <c r="HV12" s="306"/>
      <c r="HW12" s="306"/>
      <c r="HX12" s="306"/>
      <c r="HY12" s="306"/>
      <c r="HZ12" s="306"/>
      <c r="IA12" s="306"/>
      <c r="IB12" s="306"/>
      <c r="IC12" s="306"/>
      <c r="ID12" s="306"/>
      <c r="IE12" s="306"/>
    </row>
    <row r="13" spans="1:239" s="127" customFormat="1" ht="34.5" customHeight="1">
      <c r="A13" s="305">
        <v>12</v>
      </c>
      <c r="B13" s="356">
        <v>42809</v>
      </c>
      <c r="C13" s="305" t="s">
        <v>514</v>
      </c>
      <c r="D13" s="305" t="s">
        <v>521</v>
      </c>
      <c r="E13" s="305">
        <v>6</v>
      </c>
      <c r="F13" s="350" t="s">
        <v>711</v>
      </c>
      <c r="G13" s="305" t="s">
        <v>522</v>
      </c>
      <c r="H13" s="305">
        <v>4</v>
      </c>
      <c r="I13" s="305">
        <v>32</v>
      </c>
      <c r="J13" s="305">
        <v>6364</v>
      </c>
      <c r="K13" s="305">
        <v>1</v>
      </c>
      <c r="L13" s="346"/>
      <c r="M13" s="346">
        <f t="shared" si="0"/>
        <v>128</v>
      </c>
      <c r="N13" s="346">
        <f t="shared" si="1"/>
        <v>25456</v>
      </c>
      <c r="O13" s="34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6"/>
      <c r="FL13" s="306"/>
      <c r="FM13" s="306"/>
      <c r="FN13" s="306"/>
      <c r="FO13" s="306"/>
      <c r="FP13" s="306"/>
      <c r="FQ13" s="306"/>
      <c r="FR13" s="306"/>
      <c r="FS13" s="306"/>
      <c r="FT13" s="306"/>
      <c r="FU13" s="306"/>
      <c r="FV13" s="306"/>
      <c r="FW13" s="306"/>
      <c r="FX13" s="306"/>
      <c r="FY13" s="306"/>
      <c r="FZ13" s="306"/>
      <c r="GA13" s="306"/>
      <c r="GB13" s="306"/>
      <c r="GC13" s="306"/>
      <c r="GD13" s="306"/>
      <c r="GE13" s="306"/>
      <c r="GF13" s="306"/>
      <c r="GG13" s="306"/>
      <c r="GH13" s="306"/>
      <c r="GI13" s="306"/>
      <c r="GJ13" s="306"/>
      <c r="GK13" s="306"/>
      <c r="GL13" s="306"/>
      <c r="GM13" s="306"/>
      <c r="GN13" s="306"/>
      <c r="GO13" s="306"/>
      <c r="GP13" s="306"/>
      <c r="GQ13" s="306"/>
      <c r="GR13" s="306"/>
      <c r="GS13" s="306"/>
      <c r="GT13" s="306"/>
      <c r="GU13" s="306"/>
      <c r="GV13" s="306"/>
      <c r="GW13" s="306"/>
      <c r="GX13" s="306"/>
      <c r="GY13" s="306"/>
      <c r="GZ13" s="306"/>
      <c r="HA13" s="306"/>
      <c r="HB13" s="306"/>
      <c r="HC13" s="306"/>
      <c r="HD13" s="306"/>
      <c r="HE13" s="306"/>
      <c r="HF13" s="306"/>
      <c r="HG13" s="306"/>
      <c r="HH13" s="306"/>
      <c r="HI13" s="306"/>
      <c r="HJ13" s="306"/>
      <c r="HK13" s="306"/>
      <c r="HL13" s="306"/>
      <c r="HM13" s="306"/>
      <c r="HN13" s="306"/>
      <c r="HO13" s="306"/>
      <c r="HP13" s="306"/>
      <c r="HQ13" s="306"/>
      <c r="HR13" s="306"/>
      <c r="HS13" s="306"/>
      <c r="HT13" s="306"/>
      <c r="HU13" s="306"/>
      <c r="HV13" s="306"/>
      <c r="HW13" s="306"/>
      <c r="HX13" s="306"/>
      <c r="HY13" s="306"/>
      <c r="HZ13" s="306"/>
      <c r="IA13" s="306"/>
      <c r="IB13" s="306"/>
      <c r="IC13" s="306"/>
      <c r="ID13" s="306"/>
      <c r="IE13" s="306"/>
    </row>
    <row r="14" spans="1:239" s="127" customFormat="1" ht="34.5" customHeight="1">
      <c r="A14" s="305">
        <v>13</v>
      </c>
      <c r="B14" s="356">
        <v>42815</v>
      </c>
      <c r="C14" s="305" t="s">
        <v>514</v>
      </c>
      <c r="D14" s="305" t="s">
        <v>523</v>
      </c>
      <c r="E14" s="305">
        <v>6</v>
      </c>
      <c r="F14" s="350" t="s">
        <v>711</v>
      </c>
      <c r="G14" s="305" t="s">
        <v>522</v>
      </c>
      <c r="H14" s="305">
        <v>4</v>
      </c>
      <c r="I14" s="305">
        <v>3</v>
      </c>
      <c r="J14" s="305">
        <v>120</v>
      </c>
      <c r="K14" s="305">
        <v>1</v>
      </c>
      <c r="L14" s="346"/>
      <c r="M14" s="346">
        <f t="shared" si="0"/>
        <v>12</v>
      </c>
      <c r="N14" s="346">
        <f t="shared" si="1"/>
        <v>480</v>
      </c>
      <c r="O14" s="34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6"/>
      <c r="FL14" s="306"/>
      <c r="FM14" s="306"/>
      <c r="FN14" s="306"/>
      <c r="FO14" s="306"/>
      <c r="FP14" s="306"/>
      <c r="FQ14" s="306"/>
      <c r="FR14" s="306"/>
      <c r="FS14" s="306"/>
      <c r="FT14" s="306"/>
      <c r="FU14" s="306"/>
      <c r="FV14" s="306"/>
      <c r="FW14" s="306"/>
      <c r="FX14" s="306"/>
      <c r="FY14" s="306"/>
      <c r="FZ14" s="306"/>
      <c r="GA14" s="306"/>
      <c r="GB14" s="306"/>
      <c r="GC14" s="306"/>
      <c r="GD14" s="306"/>
      <c r="GE14" s="306"/>
      <c r="GF14" s="306"/>
      <c r="GG14" s="306"/>
      <c r="GH14" s="306"/>
      <c r="GI14" s="306"/>
      <c r="GJ14" s="306"/>
      <c r="GK14" s="306"/>
      <c r="GL14" s="306"/>
      <c r="GM14" s="306"/>
      <c r="GN14" s="306"/>
      <c r="GO14" s="306"/>
      <c r="GP14" s="306"/>
      <c r="GQ14" s="306"/>
      <c r="GR14" s="306"/>
      <c r="GS14" s="306"/>
      <c r="GT14" s="306"/>
      <c r="GU14" s="306"/>
      <c r="GV14" s="306"/>
      <c r="GW14" s="306"/>
      <c r="GX14" s="306"/>
      <c r="GY14" s="306"/>
      <c r="GZ14" s="306"/>
      <c r="HA14" s="306"/>
      <c r="HB14" s="306"/>
      <c r="HC14" s="306"/>
      <c r="HD14" s="306"/>
      <c r="HE14" s="306"/>
      <c r="HF14" s="306"/>
      <c r="HG14" s="306"/>
      <c r="HH14" s="306"/>
      <c r="HI14" s="306"/>
      <c r="HJ14" s="306"/>
      <c r="HK14" s="306"/>
      <c r="HL14" s="306"/>
      <c r="HM14" s="306"/>
      <c r="HN14" s="306"/>
      <c r="HO14" s="306"/>
      <c r="HP14" s="306"/>
      <c r="HQ14" s="306"/>
      <c r="HR14" s="306"/>
      <c r="HS14" s="306"/>
      <c r="HT14" s="306"/>
      <c r="HU14" s="306"/>
      <c r="HV14" s="306"/>
      <c r="HW14" s="306"/>
      <c r="HX14" s="306"/>
      <c r="HY14" s="306"/>
      <c r="HZ14" s="306"/>
      <c r="IA14" s="306"/>
      <c r="IB14" s="306"/>
      <c r="IC14" s="306"/>
      <c r="ID14" s="306"/>
      <c r="IE14" s="306"/>
    </row>
    <row r="15" spans="1:239" s="127" customFormat="1" ht="34.5" customHeight="1">
      <c r="A15" s="305">
        <v>14</v>
      </c>
      <c r="B15" s="356">
        <v>42817</v>
      </c>
      <c r="C15" s="305" t="s">
        <v>514</v>
      </c>
      <c r="D15" s="305" t="s">
        <v>524</v>
      </c>
      <c r="E15" s="305">
        <v>0.4</v>
      </c>
      <c r="F15" s="350" t="s">
        <v>711</v>
      </c>
      <c r="G15" s="305" t="s">
        <v>522</v>
      </c>
      <c r="H15" s="305">
        <v>2.17</v>
      </c>
      <c r="I15" s="305">
        <v>6</v>
      </c>
      <c r="J15" s="305">
        <v>169.6</v>
      </c>
      <c r="K15" s="305">
        <v>1</v>
      </c>
      <c r="L15" s="346"/>
      <c r="M15" s="346">
        <f t="shared" si="0"/>
        <v>13.02</v>
      </c>
      <c r="N15" s="346">
        <f t="shared" si="1"/>
        <v>368.032</v>
      </c>
      <c r="O15" s="34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  <c r="FL15" s="306"/>
      <c r="FM15" s="306"/>
      <c r="FN15" s="306"/>
      <c r="FO15" s="306"/>
      <c r="FP15" s="306"/>
      <c r="FQ15" s="306"/>
      <c r="FR15" s="306"/>
      <c r="FS15" s="306"/>
      <c r="FT15" s="306"/>
      <c r="FU15" s="306"/>
      <c r="FV15" s="306"/>
      <c r="FW15" s="306"/>
      <c r="FX15" s="306"/>
      <c r="FY15" s="306"/>
      <c r="FZ15" s="306"/>
      <c r="GA15" s="306"/>
      <c r="GB15" s="306"/>
      <c r="GC15" s="306"/>
      <c r="GD15" s="306"/>
      <c r="GE15" s="306"/>
      <c r="GF15" s="306"/>
      <c r="GG15" s="306"/>
      <c r="GH15" s="306"/>
      <c r="GI15" s="306"/>
      <c r="GJ15" s="306"/>
      <c r="GK15" s="306"/>
      <c r="GL15" s="306"/>
      <c r="GM15" s="306"/>
      <c r="GN15" s="306"/>
      <c r="GO15" s="306"/>
      <c r="GP15" s="306"/>
      <c r="GQ15" s="306"/>
      <c r="GR15" s="306"/>
      <c r="GS15" s="306"/>
      <c r="GT15" s="306"/>
      <c r="GU15" s="306"/>
      <c r="GV15" s="306"/>
      <c r="GW15" s="306"/>
      <c r="GX15" s="306"/>
      <c r="GY15" s="306"/>
      <c r="GZ15" s="306"/>
      <c r="HA15" s="306"/>
      <c r="HB15" s="306"/>
      <c r="HC15" s="306"/>
      <c r="HD15" s="306"/>
      <c r="HE15" s="306"/>
      <c r="HF15" s="306"/>
      <c r="HG15" s="306"/>
      <c r="HH15" s="306"/>
      <c r="HI15" s="306"/>
      <c r="HJ15" s="306"/>
      <c r="HK15" s="306"/>
      <c r="HL15" s="306"/>
      <c r="HM15" s="306"/>
      <c r="HN15" s="306"/>
      <c r="HO15" s="306"/>
      <c r="HP15" s="306"/>
      <c r="HQ15" s="306"/>
      <c r="HR15" s="306"/>
      <c r="HS15" s="306"/>
      <c r="HT15" s="306"/>
      <c r="HU15" s="306"/>
      <c r="HV15" s="306"/>
      <c r="HW15" s="306"/>
      <c r="HX15" s="306"/>
      <c r="HY15" s="306"/>
      <c r="HZ15" s="306"/>
      <c r="IA15" s="306"/>
      <c r="IB15" s="306"/>
      <c r="IC15" s="306"/>
      <c r="ID15" s="306"/>
      <c r="IE15" s="306"/>
    </row>
    <row r="16" spans="1:239" s="127" customFormat="1" ht="34.5" customHeight="1">
      <c r="A16" s="305">
        <v>15</v>
      </c>
      <c r="B16" s="356">
        <v>42822</v>
      </c>
      <c r="C16" s="305" t="s">
        <v>514</v>
      </c>
      <c r="D16" s="305" t="s">
        <v>525</v>
      </c>
      <c r="E16" s="305">
        <v>6</v>
      </c>
      <c r="F16" s="350" t="s">
        <v>711</v>
      </c>
      <c r="G16" s="305" t="s">
        <v>522</v>
      </c>
      <c r="H16" s="305">
        <v>7</v>
      </c>
      <c r="I16" s="305">
        <v>23</v>
      </c>
      <c r="J16" s="305">
        <v>650.35</v>
      </c>
      <c r="K16" s="305">
        <v>1</v>
      </c>
      <c r="L16" s="346"/>
      <c r="M16" s="346">
        <f t="shared" si="0"/>
        <v>161</v>
      </c>
      <c r="N16" s="346">
        <f t="shared" si="1"/>
        <v>4552.45</v>
      </c>
      <c r="O16" s="34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  <c r="FL16" s="306"/>
      <c r="FM16" s="306"/>
      <c r="FN16" s="306"/>
      <c r="FO16" s="306"/>
      <c r="FP16" s="306"/>
      <c r="FQ16" s="306"/>
      <c r="FR16" s="306"/>
      <c r="FS16" s="306"/>
      <c r="FT16" s="306"/>
      <c r="FU16" s="306"/>
      <c r="FV16" s="306"/>
      <c r="FW16" s="306"/>
      <c r="FX16" s="306"/>
      <c r="FY16" s="306"/>
      <c r="FZ16" s="306"/>
      <c r="GA16" s="306"/>
      <c r="GB16" s="306"/>
      <c r="GC16" s="306"/>
      <c r="GD16" s="306"/>
      <c r="GE16" s="306"/>
      <c r="GF16" s="306"/>
      <c r="GG16" s="306"/>
      <c r="GH16" s="306"/>
      <c r="GI16" s="306"/>
      <c r="GJ16" s="306"/>
      <c r="GK16" s="306"/>
      <c r="GL16" s="306"/>
      <c r="GM16" s="306"/>
      <c r="GN16" s="306"/>
      <c r="GO16" s="306"/>
      <c r="GP16" s="306"/>
      <c r="GQ16" s="306"/>
      <c r="GR16" s="306"/>
      <c r="GS16" s="306"/>
      <c r="GT16" s="306"/>
      <c r="GU16" s="306"/>
      <c r="GV16" s="306"/>
      <c r="GW16" s="306"/>
      <c r="GX16" s="306"/>
      <c r="GY16" s="306"/>
      <c r="GZ16" s="306"/>
      <c r="HA16" s="306"/>
      <c r="HB16" s="306"/>
      <c r="HC16" s="306"/>
      <c r="HD16" s="306"/>
      <c r="HE16" s="306"/>
      <c r="HF16" s="306"/>
      <c r="HG16" s="306"/>
      <c r="HH16" s="306"/>
      <c r="HI16" s="306"/>
      <c r="HJ16" s="306"/>
      <c r="HK16" s="306"/>
      <c r="HL16" s="306"/>
      <c r="HM16" s="306"/>
      <c r="HN16" s="306"/>
      <c r="HO16" s="306"/>
      <c r="HP16" s="306"/>
      <c r="HQ16" s="306"/>
      <c r="HR16" s="306"/>
      <c r="HS16" s="306"/>
      <c r="HT16" s="306"/>
      <c r="HU16" s="306"/>
      <c r="HV16" s="306"/>
      <c r="HW16" s="306"/>
      <c r="HX16" s="306"/>
      <c r="HY16" s="306"/>
      <c r="HZ16" s="306"/>
      <c r="IA16" s="306"/>
      <c r="IB16" s="306"/>
      <c r="IC16" s="306"/>
      <c r="ID16" s="306"/>
      <c r="IE16" s="306"/>
    </row>
    <row r="17" spans="1:239" s="127" customFormat="1" ht="34.5" customHeight="1">
      <c r="A17" s="305">
        <v>16</v>
      </c>
      <c r="B17" s="356">
        <v>42824</v>
      </c>
      <c r="C17" s="305" t="s">
        <v>514</v>
      </c>
      <c r="D17" s="305" t="s">
        <v>526</v>
      </c>
      <c r="E17" s="305">
        <v>6</v>
      </c>
      <c r="F17" s="350" t="s">
        <v>711</v>
      </c>
      <c r="G17" s="305" t="s">
        <v>522</v>
      </c>
      <c r="H17" s="305">
        <v>6.17</v>
      </c>
      <c r="I17" s="305">
        <v>9</v>
      </c>
      <c r="J17" s="305">
        <v>795.88</v>
      </c>
      <c r="K17" s="305">
        <v>1</v>
      </c>
      <c r="L17" s="346"/>
      <c r="M17" s="346">
        <f t="shared" si="0"/>
        <v>55.53</v>
      </c>
      <c r="N17" s="346">
        <f t="shared" si="1"/>
        <v>4910.5796</v>
      </c>
      <c r="O17" s="34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  <c r="FN17" s="306"/>
      <c r="FO17" s="306"/>
      <c r="FP17" s="306"/>
      <c r="FQ17" s="306"/>
      <c r="FR17" s="306"/>
      <c r="FS17" s="306"/>
      <c r="FT17" s="306"/>
      <c r="FU17" s="306"/>
      <c r="FV17" s="306"/>
      <c r="FW17" s="306"/>
      <c r="FX17" s="306"/>
      <c r="FY17" s="306"/>
      <c r="FZ17" s="306"/>
      <c r="GA17" s="306"/>
      <c r="GB17" s="306"/>
      <c r="GC17" s="306"/>
      <c r="GD17" s="306"/>
      <c r="GE17" s="306"/>
      <c r="GF17" s="306"/>
      <c r="GG17" s="306"/>
      <c r="GH17" s="306"/>
      <c r="GI17" s="306"/>
      <c r="GJ17" s="306"/>
      <c r="GK17" s="306"/>
      <c r="GL17" s="306"/>
      <c r="GM17" s="306"/>
      <c r="GN17" s="306"/>
      <c r="GO17" s="306"/>
      <c r="GP17" s="306"/>
      <c r="GQ17" s="306"/>
      <c r="GR17" s="306"/>
      <c r="GS17" s="306"/>
      <c r="GT17" s="306"/>
      <c r="GU17" s="306"/>
      <c r="GV17" s="306"/>
      <c r="GW17" s="306"/>
      <c r="GX17" s="306"/>
      <c r="GY17" s="306"/>
      <c r="GZ17" s="306"/>
      <c r="HA17" s="306"/>
      <c r="HB17" s="306"/>
      <c r="HC17" s="306"/>
      <c r="HD17" s="306"/>
      <c r="HE17" s="306"/>
      <c r="HF17" s="306"/>
      <c r="HG17" s="306"/>
      <c r="HH17" s="306"/>
      <c r="HI17" s="306"/>
      <c r="HJ17" s="306"/>
      <c r="HK17" s="306"/>
      <c r="HL17" s="306"/>
      <c r="HM17" s="306"/>
      <c r="HN17" s="306"/>
      <c r="HO17" s="306"/>
      <c r="HP17" s="306"/>
      <c r="HQ17" s="306"/>
      <c r="HR17" s="306"/>
      <c r="HS17" s="306"/>
      <c r="HT17" s="306"/>
      <c r="HU17" s="306"/>
      <c r="HV17" s="306"/>
      <c r="HW17" s="306"/>
      <c r="HX17" s="306"/>
      <c r="HY17" s="306"/>
      <c r="HZ17" s="306"/>
      <c r="IA17" s="306"/>
      <c r="IB17" s="306"/>
      <c r="IC17" s="306"/>
      <c r="ID17" s="306"/>
      <c r="IE17" s="306"/>
    </row>
    <row r="18" spans="1:239" s="127" customFormat="1" ht="34.5" customHeight="1">
      <c r="A18" s="307">
        <v>27</v>
      </c>
      <c r="B18" s="357">
        <v>42822</v>
      </c>
      <c r="C18" s="307" t="s">
        <v>517</v>
      </c>
      <c r="D18" s="307" t="s">
        <v>527</v>
      </c>
      <c r="E18" s="307">
        <v>10</v>
      </c>
      <c r="F18" s="355" t="s">
        <v>711</v>
      </c>
      <c r="G18" s="307" t="s">
        <v>522</v>
      </c>
      <c r="H18" s="307">
        <v>5.33</v>
      </c>
      <c r="I18" s="307">
        <v>5</v>
      </c>
      <c r="J18" s="307">
        <v>101.72</v>
      </c>
      <c r="K18" s="307">
        <v>1</v>
      </c>
      <c r="L18" s="346"/>
      <c r="M18" s="346">
        <f t="shared" si="0"/>
        <v>26.65</v>
      </c>
      <c r="N18" s="346">
        <f t="shared" si="1"/>
        <v>542.1676</v>
      </c>
      <c r="O18" s="34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306"/>
      <c r="FG18" s="306"/>
      <c r="FH18" s="306"/>
      <c r="FI18" s="306"/>
      <c r="FJ18" s="306"/>
      <c r="FK18" s="306"/>
      <c r="FL18" s="306"/>
      <c r="FM18" s="30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06"/>
      <c r="GF18" s="306"/>
      <c r="GG18" s="306"/>
      <c r="GH18" s="306"/>
      <c r="GI18" s="306"/>
      <c r="GJ18" s="306"/>
      <c r="GK18" s="306"/>
      <c r="GL18" s="306"/>
      <c r="GM18" s="306"/>
      <c r="GN18" s="306"/>
      <c r="GO18" s="306"/>
      <c r="GP18" s="306"/>
      <c r="GQ18" s="306"/>
      <c r="GR18" s="306"/>
      <c r="GS18" s="306"/>
      <c r="GT18" s="306"/>
      <c r="GU18" s="306"/>
      <c r="GV18" s="306"/>
      <c r="GW18" s="306"/>
      <c r="GX18" s="306"/>
      <c r="GY18" s="306"/>
      <c r="GZ18" s="306"/>
      <c r="HA18" s="306"/>
      <c r="HB18" s="306"/>
      <c r="HC18" s="306"/>
      <c r="HD18" s="306"/>
      <c r="HE18" s="306"/>
      <c r="HF18" s="306"/>
      <c r="HG18" s="306"/>
      <c r="HH18" s="306"/>
      <c r="HI18" s="306"/>
      <c r="HJ18" s="306"/>
      <c r="HK18" s="306"/>
      <c r="HL18" s="306"/>
      <c r="HM18" s="306"/>
      <c r="HN18" s="306"/>
      <c r="HO18" s="306"/>
      <c r="HP18" s="306"/>
      <c r="HQ18" s="306"/>
      <c r="HR18" s="306"/>
      <c r="HS18" s="306"/>
      <c r="HT18" s="306"/>
      <c r="HU18" s="306"/>
      <c r="HV18" s="306"/>
      <c r="HW18" s="306"/>
      <c r="HX18" s="306"/>
      <c r="HY18" s="306"/>
      <c r="HZ18" s="306"/>
      <c r="IA18" s="306"/>
      <c r="IB18" s="306"/>
      <c r="IC18" s="306"/>
      <c r="ID18" s="306"/>
      <c r="IE18" s="306"/>
    </row>
    <row r="19" spans="1:239" s="127" customFormat="1" ht="34.5" customHeight="1">
      <c r="A19" s="305">
        <v>3</v>
      </c>
      <c r="B19" s="356">
        <v>42851</v>
      </c>
      <c r="C19" s="305" t="s">
        <v>514</v>
      </c>
      <c r="D19" s="305" t="s">
        <v>528</v>
      </c>
      <c r="E19" s="305">
        <v>0.4</v>
      </c>
      <c r="F19" s="350" t="s">
        <v>711</v>
      </c>
      <c r="G19" s="305" t="s">
        <v>529</v>
      </c>
      <c r="H19" s="305">
        <v>43.75</v>
      </c>
      <c r="I19" s="305">
        <v>1</v>
      </c>
      <c r="J19" s="305">
        <v>60</v>
      </c>
      <c r="K19" s="305">
        <v>0</v>
      </c>
      <c r="L19" s="347"/>
      <c r="M19" s="346">
        <f t="shared" si="0"/>
        <v>43.75</v>
      </c>
      <c r="N19" s="346">
        <f t="shared" si="1"/>
        <v>2625</v>
      </c>
      <c r="O19" s="34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306"/>
      <c r="FL19" s="306"/>
      <c r="FM19" s="306"/>
      <c r="FN19" s="306"/>
      <c r="FO19" s="306"/>
      <c r="FP19" s="306"/>
      <c r="FQ19" s="306"/>
      <c r="FR19" s="306"/>
      <c r="FS19" s="306"/>
      <c r="FT19" s="306"/>
      <c r="FU19" s="306"/>
      <c r="FV19" s="306"/>
      <c r="FW19" s="306"/>
      <c r="FX19" s="306"/>
      <c r="FY19" s="306"/>
      <c r="FZ19" s="306"/>
      <c r="GA19" s="306"/>
      <c r="GB19" s="306"/>
      <c r="GC19" s="306"/>
      <c r="GD19" s="306"/>
      <c r="GE19" s="306"/>
      <c r="GF19" s="306"/>
      <c r="GG19" s="306"/>
      <c r="GH19" s="306"/>
      <c r="GI19" s="306"/>
      <c r="GJ19" s="306"/>
      <c r="GK19" s="306"/>
      <c r="GL19" s="306"/>
      <c r="GM19" s="306"/>
      <c r="GN19" s="306"/>
      <c r="GO19" s="306"/>
      <c r="GP19" s="306"/>
      <c r="GQ19" s="306"/>
      <c r="GR19" s="306"/>
      <c r="GS19" s="306"/>
      <c r="GT19" s="306"/>
      <c r="GU19" s="306"/>
      <c r="GV19" s="306"/>
      <c r="GW19" s="306"/>
      <c r="GX19" s="306"/>
      <c r="GY19" s="306"/>
      <c r="GZ19" s="306"/>
      <c r="HA19" s="306"/>
      <c r="HB19" s="306"/>
      <c r="HC19" s="306"/>
      <c r="HD19" s="306"/>
      <c r="HE19" s="306"/>
      <c r="HF19" s="306"/>
      <c r="HG19" s="306"/>
      <c r="HH19" s="306"/>
      <c r="HI19" s="306"/>
      <c r="HJ19" s="306"/>
      <c r="HK19" s="306"/>
      <c r="HL19" s="306"/>
      <c r="HM19" s="306"/>
      <c r="HN19" s="306"/>
      <c r="HO19" s="306"/>
      <c r="HP19" s="306"/>
      <c r="HQ19" s="306"/>
      <c r="HR19" s="306"/>
      <c r="HS19" s="306"/>
      <c r="HT19" s="306"/>
      <c r="HU19" s="306"/>
      <c r="HV19" s="306"/>
      <c r="HW19" s="306"/>
      <c r="HX19" s="306"/>
      <c r="HY19" s="306"/>
      <c r="HZ19" s="306"/>
      <c r="IA19" s="306"/>
      <c r="IB19" s="306"/>
      <c r="IC19" s="306"/>
      <c r="ID19" s="306"/>
      <c r="IE19" s="306"/>
    </row>
    <row r="20" spans="1:239" s="127" customFormat="1" ht="34.5" customHeight="1">
      <c r="A20" s="307">
        <v>10</v>
      </c>
      <c r="B20" s="357">
        <v>42853</v>
      </c>
      <c r="C20" s="307" t="s">
        <v>517</v>
      </c>
      <c r="D20" s="307" t="s">
        <v>530</v>
      </c>
      <c r="E20" s="307">
        <v>0.4</v>
      </c>
      <c r="F20" s="355" t="s">
        <v>711</v>
      </c>
      <c r="G20" s="307" t="s">
        <v>516</v>
      </c>
      <c r="H20" s="307">
        <v>0.33</v>
      </c>
      <c r="I20" s="307">
        <v>1</v>
      </c>
      <c r="J20" s="307">
        <v>33</v>
      </c>
      <c r="K20" s="307">
        <v>1</v>
      </c>
      <c r="L20" s="347"/>
      <c r="M20" s="346">
        <f t="shared" si="0"/>
        <v>0.33</v>
      </c>
      <c r="N20" s="346">
        <f t="shared" si="1"/>
        <v>10.89</v>
      </c>
      <c r="O20" s="34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/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306"/>
      <c r="FG20" s="306"/>
      <c r="FH20" s="306"/>
      <c r="FI20" s="306"/>
      <c r="FJ20" s="306"/>
      <c r="FK20" s="306"/>
      <c r="FL20" s="306"/>
      <c r="FM20" s="306"/>
      <c r="FN20" s="306"/>
      <c r="FO20" s="306"/>
      <c r="FP20" s="306"/>
      <c r="FQ20" s="306"/>
      <c r="FR20" s="306"/>
      <c r="FS20" s="306"/>
      <c r="FT20" s="306"/>
      <c r="FU20" s="306"/>
      <c r="FV20" s="306"/>
      <c r="FW20" s="306"/>
      <c r="FX20" s="306"/>
      <c r="FY20" s="306"/>
      <c r="FZ20" s="306"/>
      <c r="GA20" s="306"/>
      <c r="GB20" s="306"/>
      <c r="GC20" s="306"/>
      <c r="GD20" s="306"/>
      <c r="GE20" s="306"/>
      <c r="GF20" s="306"/>
      <c r="GG20" s="306"/>
      <c r="GH20" s="306"/>
      <c r="GI20" s="306"/>
      <c r="GJ20" s="306"/>
      <c r="GK20" s="306"/>
      <c r="GL20" s="306"/>
      <c r="GM20" s="306"/>
      <c r="GN20" s="306"/>
      <c r="GO20" s="306"/>
      <c r="GP20" s="306"/>
      <c r="GQ20" s="306"/>
      <c r="GR20" s="306"/>
      <c r="GS20" s="306"/>
      <c r="GT20" s="306"/>
      <c r="GU20" s="306"/>
      <c r="GV20" s="306"/>
      <c r="GW20" s="306"/>
      <c r="GX20" s="306"/>
      <c r="GY20" s="306"/>
      <c r="GZ20" s="306"/>
      <c r="HA20" s="306"/>
      <c r="HB20" s="306"/>
      <c r="HC20" s="306"/>
      <c r="HD20" s="306"/>
      <c r="HE20" s="306"/>
      <c r="HF20" s="306"/>
      <c r="HG20" s="306"/>
      <c r="HH20" s="306"/>
      <c r="HI20" s="306"/>
      <c r="HJ20" s="306"/>
      <c r="HK20" s="306"/>
      <c r="HL20" s="306"/>
      <c r="HM20" s="306"/>
      <c r="HN20" s="306"/>
      <c r="HO20" s="306"/>
      <c r="HP20" s="306"/>
      <c r="HQ20" s="306"/>
      <c r="HR20" s="306"/>
      <c r="HS20" s="306"/>
      <c r="HT20" s="306"/>
      <c r="HU20" s="306"/>
      <c r="HV20" s="306"/>
      <c r="HW20" s="306"/>
      <c r="HX20" s="306"/>
      <c r="HY20" s="306"/>
      <c r="HZ20" s="306"/>
      <c r="IA20" s="306"/>
      <c r="IB20" s="306"/>
      <c r="IC20" s="306"/>
      <c r="ID20" s="306"/>
      <c r="IE20" s="306"/>
    </row>
    <row r="21" spans="1:239" s="127" customFormat="1" ht="34.5" customHeight="1">
      <c r="A21" s="305">
        <v>17</v>
      </c>
      <c r="B21" s="356">
        <v>42836</v>
      </c>
      <c r="C21" s="305" t="s">
        <v>514</v>
      </c>
      <c r="D21" s="305" t="s">
        <v>531</v>
      </c>
      <c r="E21" s="305">
        <v>0.4</v>
      </c>
      <c r="F21" s="350" t="s">
        <v>711</v>
      </c>
      <c r="G21" s="305" t="s">
        <v>522</v>
      </c>
      <c r="H21" s="305">
        <v>6.83</v>
      </c>
      <c r="I21" s="305">
        <v>7</v>
      </c>
      <c r="J21" s="305">
        <v>152</v>
      </c>
      <c r="K21" s="305">
        <v>1</v>
      </c>
      <c r="L21" s="347"/>
      <c r="M21" s="346">
        <f t="shared" si="0"/>
        <v>47.81</v>
      </c>
      <c r="N21" s="346">
        <f t="shared" si="1"/>
        <v>1038.16</v>
      </c>
      <c r="O21" s="34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6"/>
      <c r="FH21" s="306"/>
      <c r="FI21" s="306"/>
      <c r="FJ21" s="306"/>
      <c r="FK21" s="306"/>
      <c r="FL21" s="306"/>
      <c r="FM21" s="306"/>
      <c r="FN21" s="306"/>
      <c r="FO21" s="306"/>
      <c r="FP21" s="306"/>
      <c r="FQ21" s="306"/>
      <c r="FR21" s="306"/>
      <c r="FS21" s="306"/>
      <c r="FT21" s="306"/>
      <c r="FU21" s="306"/>
      <c r="FV21" s="306"/>
      <c r="FW21" s="306"/>
      <c r="FX21" s="306"/>
      <c r="FY21" s="306"/>
      <c r="FZ21" s="306"/>
      <c r="GA21" s="306"/>
      <c r="GB21" s="306"/>
      <c r="GC21" s="306"/>
      <c r="GD21" s="306"/>
      <c r="GE21" s="306"/>
      <c r="GF21" s="306"/>
      <c r="GG21" s="306"/>
      <c r="GH21" s="306"/>
      <c r="GI21" s="306"/>
      <c r="GJ21" s="306"/>
      <c r="GK21" s="306"/>
      <c r="GL21" s="306"/>
      <c r="GM21" s="306"/>
      <c r="GN21" s="306"/>
      <c r="GO21" s="306"/>
      <c r="GP21" s="306"/>
      <c r="GQ21" s="306"/>
      <c r="GR21" s="306"/>
      <c r="GS21" s="306"/>
      <c r="GT21" s="306"/>
      <c r="GU21" s="306"/>
      <c r="GV21" s="306"/>
      <c r="GW21" s="306"/>
      <c r="GX21" s="306"/>
      <c r="GY21" s="306"/>
      <c r="GZ21" s="306"/>
      <c r="HA21" s="306"/>
      <c r="HB21" s="306"/>
      <c r="HC21" s="306"/>
      <c r="HD21" s="306"/>
      <c r="HE21" s="306"/>
      <c r="HF21" s="306"/>
      <c r="HG21" s="306"/>
      <c r="HH21" s="306"/>
      <c r="HI21" s="306"/>
      <c r="HJ21" s="306"/>
      <c r="HK21" s="306"/>
      <c r="HL21" s="306"/>
      <c r="HM21" s="306"/>
      <c r="HN21" s="306"/>
      <c r="HO21" s="306"/>
      <c r="HP21" s="306"/>
      <c r="HQ21" s="306"/>
      <c r="HR21" s="306"/>
      <c r="HS21" s="306"/>
      <c r="HT21" s="306"/>
      <c r="HU21" s="306"/>
      <c r="HV21" s="306"/>
      <c r="HW21" s="306"/>
      <c r="HX21" s="306"/>
      <c r="HY21" s="306"/>
      <c r="HZ21" s="306"/>
      <c r="IA21" s="306"/>
      <c r="IB21" s="306"/>
      <c r="IC21" s="306"/>
      <c r="ID21" s="306"/>
      <c r="IE21" s="306"/>
    </row>
    <row r="22" spans="1:239" s="127" customFormat="1" ht="34.5" customHeight="1">
      <c r="A22" s="305">
        <v>18</v>
      </c>
      <c r="B22" s="356">
        <v>42838</v>
      </c>
      <c r="C22" s="305" t="s">
        <v>514</v>
      </c>
      <c r="D22" s="305" t="s">
        <v>532</v>
      </c>
      <c r="E22" s="305">
        <v>6</v>
      </c>
      <c r="F22" s="350" t="s">
        <v>711</v>
      </c>
      <c r="G22" s="305" t="s">
        <v>522</v>
      </c>
      <c r="H22" s="305">
        <v>7</v>
      </c>
      <c r="I22" s="305">
        <v>9</v>
      </c>
      <c r="J22" s="305">
        <v>795.88</v>
      </c>
      <c r="K22" s="305">
        <v>1</v>
      </c>
      <c r="L22" s="347"/>
      <c r="M22" s="346">
        <f t="shared" si="0"/>
        <v>63</v>
      </c>
      <c r="N22" s="346">
        <f t="shared" si="1"/>
        <v>5571.16</v>
      </c>
      <c r="O22" s="34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306"/>
      <c r="FN22" s="306"/>
      <c r="FO22" s="306"/>
      <c r="FP22" s="306"/>
      <c r="FQ22" s="306"/>
      <c r="FR22" s="306"/>
      <c r="FS22" s="306"/>
      <c r="FT22" s="306"/>
      <c r="FU22" s="306"/>
      <c r="FV22" s="306"/>
      <c r="FW22" s="306"/>
      <c r="FX22" s="306"/>
      <c r="FY22" s="306"/>
      <c r="FZ22" s="306"/>
      <c r="GA22" s="306"/>
      <c r="GB22" s="306"/>
      <c r="GC22" s="306"/>
      <c r="GD22" s="306"/>
      <c r="GE22" s="306"/>
      <c r="GF22" s="306"/>
      <c r="GG22" s="306"/>
      <c r="GH22" s="306"/>
      <c r="GI22" s="306"/>
      <c r="GJ22" s="306"/>
      <c r="GK22" s="306"/>
      <c r="GL22" s="306"/>
      <c r="GM22" s="306"/>
      <c r="GN22" s="306"/>
      <c r="GO22" s="306"/>
      <c r="GP22" s="306"/>
      <c r="GQ22" s="306"/>
      <c r="GR22" s="306"/>
      <c r="GS22" s="306"/>
      <c r="GT22" s="306"/>
      <c r="GU22" s="306"/>
      <c r="GV22" s="306"/>
      <c r="GW22" s="306"/>
      <c r="GX22" s="306"/>
      <c r="GY22" s="306"/>
      <c r="GZ22" s="306"/>
      <c r="HA22" s="306"/>
      <c r="HB22" s="306"/>
      <c r="HC22" s="306"/>
      <c r="HD22" s="306"/>
      <c r="HE22" s="306"/>
      <c r="HF22" s="306"/>
      <c r="HG22" s="306"/>
      <c r="HH22" s="306"/>
      <c r="HI22" s="306"/>
      <c r="HJ22" s="306"/>
      <c r="HK22" s="306"/>
      <c r="HL22" s="306"/>
      <c r="HM22" s="306"/>
      <c r="HN22" s="306"/>
      <c r="HO22" s="306"/>
      <c r="HP22" s="306"/>
      <c r="HQ22" s="306"/>
      <c r="HR22" s="306"/>
      <c r="HS22" s="306"/>
      <c r="HT22" s="306"/>
      <c r="HU22" s="306"/>
      <c r="HV22" s="306"/>
      <c r="HW22" s="306"/>
      <c r="HX22" s="306"/>
      <c r="HY22" s="306"/>
      <c r="HZ22" s="306"/>
      <c r="IA22" s="306"/>
      <c r="IB22" s="306"/>
      <c r="IC22" s="306"/>
      <c r="ID22" s="306"/>
      <c r="IE22" s="306"/>
    </row>
    <row r="23" spans="1:239" s="127" customFormat="1" ht="34.5" customHeight="1">
      <c r="A23" s="305">
        <v>19</v>
      </c>
      <c r="B23" s="356">
        <v>42853</v>
      </c>
      <c r="C23" s="305" t="s">
        <v>514</v>
      </c>
      <c r="D23" s="305" t="s">
        <v>533</v>
      </c>
      <c r="E23" s="305">
        <v>6</v>
      </c>
      <c r="F23" s="350" t="s">
        <v>711</v>
      </c>
      <c r="G23" s="305" t="s">
        <v>522</v>
      </c>
      <c r="H23" s="305">
        <v>1.5</v>
      </c>
      <c r="I23" s="305">
        <v>29</v>
      </c>
      <c r="J23" s="305">
        <v>417</v>
      </c>
      <c r="K23" s="305">
        <v>1</v>
      </c>
      <c r="L23" s="347"/>
      <c r="M23" s="346">
        <f t="shared" si="0"/>
        <v>43.5</v>
      </c>
      <c r="N23" s="346">
        <f t="shared" si="1"/>
        <v>625.5</v>
      </c>
      <c r="O23" s="34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  <c r="FL23" s="306"/>
      <c r="FM23" s="306"/>
      <c r="FN23" s="306"/>
      <c r="FO23" s="306"/>
      <c r="FP23" s="306"/>
      <c r="FQ23" s="306"/>
      <c r="FR23" s="306"/>
      <c r="FS23" s="306"/>
      <c r="FT23" s="306"/>
      <c r="FU23" s="306"/>
      <c r="FV23" s="306"/>
      <c r="FW23" s="306"/>
      <c r="FX23" s="306"/>
      <c r="FY23" s="306"/>
      <c r="FZ23" s="306"/>
      <c r="GA23" s="306"/>
      <c r="GB23" s="306"/>
      <c r="GC23" s="306"/>
      <c r="GD23" s="306"/>
      <c r="GE23" s="306"/>
      <c r="GF23" s="306"/>
      <c r="GG23" s="306"/>
      <c r="GH23" s="306"/>
      <c r="GI23" s="306"/>
      <c r="GJ23" s="306"/>
      <c r="GK23" s="306"/>
      <c r="GL23" s="306"/>
      <c r="GM23" s="306"/>
      <c r="GN23" s="306"/>
      <c r="GO23" s="306"/>
      <c r="GP23" s="306"/>
      <c r="GQ23" s="306"/>
      <c r="GR23" s="306"/>
      <c r="GS23" s="306"/>
      <c r="GT23" s="306"/>
      <c r="GU23" s="306"/>
      <c r="GV23" s="306"/>
      <c r="GW23" s="306"/>
      <c r="GX23" s="306"/>
      <c r="GY23" s="306"/>
      <c r="GZ23" s="306"/>
      <c r="HA23" s="306"/>
      <c r="HB23" s="306"/>
      <c r="HC23" s="306"/>
      <c r="HD23" s="306"/>
      <c r="HE23" s="306"/>
      <c r="HF23" s="306"/>
      <c r="HG23" s="306"/>
      <c r="HH23" s="306"/>
      <c r="HI23" s="306"/>
      <c r="HJ23" s="306"/>
      <c r="HK23" s="306"/>
      <c r="HL23" s="306"/>
      <c r="HM23" s="306"/>
      <c r="HN23" s="306"/>
      <c r="HO23" s="306"/>
      <c r="HP23" s="306"/>
      <c r="HQ23" s="306"/>
      <c r="HR23" s="306"/>
      <c r="HS23" s="306"/>
      <c r="HT23" s="306"/>
      <c r="HU23" s="306"/>
      <c r="HV23" s="306"/>
      <c r="HW23" s="306"/>
      <c r="HX23" s="306"/>
      <c r="HY23" s="306"/>
      <c r="HZ23" s="306"/>
      <c r="IA23" s="306"/>
      <c r="IB23" s="306"/>
      <c r="IC23" s="306"/>
      <c r="ID23" s="306"/>
      <c r="IE23" s="306"/>
    </row>
    <row r="24" spans="1:239" s="127" customFormat="1" ht="34.5" customHeight="1">
      <c r="A24" s="307">
        <v>28</v>
      </c>
      <c r="B24" s="357">
        <v>42831</v>
      </c>
      <c r="C24" s="307" t="s">
        <v>517</v>
      </c>
      <c r="D24" s="307" t="s">
        <v>534</v>
      </c>
      <c r="E24" s="307">
        <v>10</v>
      </c>
      <c r="F24" s="355" t="s">
        <v>711</v>
      </c>
      <c r="G24" s="307" t="s">
        <v>522</v>
      </c>
      <c r="H24" s="307">
        <v>6.5</v>
      </c>
      <c r="I24" s="307">
        <v>11</v>
      </c>
      <c r="J24" s="307">
        <v>102.72</v>
      </c>
      <c r="K24" s="307">
        <v>1</v>
      </c>
      <c r="L24" s="347"/>
      <c r="M24" s="346">
        <f t="shared" si="0"/>
        <v>71.5</v>
      </c>
      <c r="N24" s="346">
        <f t="shared" si="1"/>
        <v>667.68</v>
      </c>
      <c r="O24" s="34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  <c r="FN24" s="306"/>
      <c r="FO24" s="306"/>
      <c r="FP24" s="306"/>
      <c r="FQ24" s="306"/>
      <c r="FR24" s="306"/>
      <c r="FS24" s="306"/>
      <c r="FT24" s="306"/>
      <c r="FU24" s="306"/>
      <c r="FV24" s="306"/>
      <c r="FW24" s="306"/>
      <c r="FX24" s="306"/>
      <c r="FY24" s="306"/>
      <c r="FZ24" s="306"/>
      <c r="GA24" s="306"/>
      <c r="GB24" s="306"/>
      <c r="GC24" s="306"/>
      <c r="GD24" s="306"/>
      <c r="GE24" s="306"/>
      <c r="GF24" s="306"/>
      <c r="GG24" s="306"/>
      <c r="GH24" s="306"/>
      <c r="GI24" s="306"/>
      <c r="GJ24" s="306"/>
      <c r="GK24" s="306"/>
      <c r="GL24" s="306"/>
      <c r="GM24" s="306"/>
      <c r="GN24" s="306"/>
      <c r="GO24" s="306"/>
      <c r="GP24" s="306"/>
      <c r="GQ24" s="306"/>
      <c r="GR24" s="306"/>
      <c r="GS24" s="306"/>
      <c r="GT24" s="306"/>
      <c r="GU24" s="306"/>
      <c r="GV24" s="306"/>
      <c r="GW24" s="306"/>
      <c r="GX24" s="306"/>
      <c r="GY24" s="306"/>
      <c r="GZ24" s="306"/>
      <c r="HA24" s="306"/>
      <c r="HB24" s="306"/>
      <c r="HC24" s="306"/>
      <c r="HD24" s="306"/>
      <c r="HE24" s="306"/>
      <c r="HF24" s="306"/>
      <c r="HG24" s="306"/>
      <c r="HH24" s="306"/>
      <c r="HI24" s="306"/>
      <c r="HJ24" s="306"/>
      <c r="HK24" s="306"/>
      <c r="HL24" s="306"/>
      <c r="HM24" s="306"/>
      <c r="HN24" s="306"/>
      <c r="HO24" s="306"/>
      <c r="HP24" s="306"/>
      <c r="HQ24" s="306"/>
      <c r="HR24" s="306"/>
      <c r="HS24" s="306"/>
      <c r="HT24" s="306"/>
      <c r="HU24" s="306"/>
      <c r="HV24" s="306"/>
      <c r="HW24" s="306"/>
      <c r="HX24" s="306"/>
      <c r="HY24" s="306"/>
      <c r="HZ24" s="306"/>
      <c r="IA24" s="306"/>
      <c r="IB24" s="306"/>
      <c r="IC24" s="306"/>
      <c r="ID24" s="306"/>
      <c r="IE24" s="306"/>
    </row>
    <row r="25" spans="1:239" s="127" customFormat="1" ht="34.5" customHeight="1">
      <c r="A25" s="307">
        <v>29</v>
      </c>
      <c r="B25" s="357">
        <v>42837</v>
      </c>
      <c r="C25" s="307" t="s">
        <v>517</v>
      </c>
      <c r="D25" s="307" t="s">
        <v>535</v>
      </c>
      <c r="E25" s="307">
        <v>10</v>
      </c>
      <c r="F25" s="355" t="s">
        <v>711</v>
      </c>
      <c r="G25" s="307" t="s">
        <v>522</v>
      </c>
      <c r="H25" s="307">
        <v>7.42</v>
      </c>
      <c r="I25" s="307">
        <v>3</v>
      </c>
      <c r="J25" s="307">
        <v>40.27</v>
      </c>
      <c r="K25" s="307">
        <v>1</v>
      </c>
      <c r="L25" s="347"/>
      <c r="M25" s="346">
        <f t="shared" si="0"/>
        <v>22.259999999999998</v>
      </c>
      <c r="N25" s="346">
        <f t="shared" si="1"/>
        <v>298.8034</v>
      </c>
      <c r="O25" s="34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  <c r="FN25" s="306"/>
      <c r="FO25" s="306"/>
      <c r="FP25" s="306"/>
      <c r="FQ25" s="306"/>
      <c r="FR25" s="306"/>
      <c r="FS25" s="306"/>
      <c r="FT25" s="306"/>
      <c r="FU25" s="306"/>
      <c r="FV25" s="306"/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  <c r="GN25" s="306"/>
      <c r="GO25" s="306"/>
      <c r="GP25" s="306"/>
      <c r="GQ25" s="306"/>
      <c r="GR25" s="306"/>
      <c r="GS25" s="306"/>
      <c r="GT25" s="306"/>
      <c r="GU25" s="306"/>
      <c r="GV25" s="306"/>
      <c r="GW25" s="306"/>
      <c r="GX25" s="306"/>
      <c r="GY25" s="306"/>
      <c r="GZ25" s="306"/>
      <c r="HA25" s="306"/>
      <c r="HB25" s="306"/>
      <c r="HC25" s="306"/>
      <c r="HD25" s="306"/>
      <c r="HE25" s="306"/>
      <c r="HF25" s="306"/>
      <c r="HG25" s="306"/>
      <c r="HH25" s="306"/>
      <c r="HI25" s="306"/>
      <c r="HJ25" s="306"/>
      <c r="HK25" s="306"/>
      <c r="HL25" s="306"/>
      <c r="HM25" s="306"/>
      <c r="HN25" s="306"/>
      <c r="HO25" s="306"/>
      <c r="HP25" s="306"/>
      <c r="HQ25" s="306"/>
      <c r="HR25" s="306"/>
      <c r="HS25" s="306"/>
      <c r="HT25" s="306"/>
      <c r="HU25" s="306"/>
      <c r="HV25" s="306"/>
      <c r="HW25" s="306"/>
      <c r="HX25" s="306"/>
      <c r="HY25" s="306"/>
      <c r="HZ25" s="306"/>
      <c r="IA25" s="306"/>
      <c r="IB25" s="306"/>
      <c r="IC25" s="306"/>
      <c r="ID25" s="306"/>
      <c r="IE25" s="306"/>
    </row>
    <row r="26" spans="1:239" s="127" customFormat="1" ht="34.5" customHeight="1">
      <c r="A26" s="307">
        <v>53</v>
      </c>
      <c r="B26" s="357">
        <v>42830</v>
      </c>
      <c r="C26" s="307" t="s">
        <v>517</v>
      </c>
      <c r="D26" s="307" t="s">
        <v>536</v>
      </c>
      <c r="E26" s="307">
        <v>6</v>
      </c>
      <c r="F26" s="355" t="s">
        <v>711</v>
      </c>
      <c r="G26" s="307" t="s">
        <v>522</v>
      </c>
      <c r="H26" s="307">
        <v>6.25</v>
      </c>
      <c r="I26" s="307">
        <v>10</v>
      </c>
      <c r="J26" s="307">
        <v>150</v>
      </c>
      <c r="K26" s="307">
        <v>1</v>
      </c>
      <c r="L26" s="347"/>
      <c r="M26" s="346">
        <f t="shared" si="0"/>
        <v>62.5</v>
      </c>
      <c r="N26" s="346">
        <f t="shared" si="1"/>
        <v>937.5</v>
      </c>
      <c r="O26" s="34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  <c r="FL26" s="306"/>
      <c r="FM26" s="306"/>
      <c r="FN26" s="306"/>
      <c r="FO26" s="306"/>
      <c r="FP26" s="306"/>
      <c r="FQ26" s="306"/>
      <c r="FR26" s="306"/>
      <c r="FS26" s="306"/>
      <c r="FT26" s="306"/>
      <c r="FU26" s="306"/>
      <c r="FV26" s="306"/>
      <c r="FW26" s="306"/>
      <c r="FX26" s="306"/>
      <c r="FY26" s="306"/>
      <c r="FZ26" s="306"/>
      <c r="GA26" s="306"/>
      <c r="GB26" s="306"/>
      <c r="GC26" s="306"/>
      <c r="GD26" s="306"/>
      <c r="GE26" s="306"/>
      <c r="GF26" s="306"/>
      <c r="GG26" s="306"/>
      <c r="GH26" s="306"/>
      <c r="GI26" s="306"/>
      <c r="GJ26" s="306"/>
      <c r="GK26" s="306"/>
      <c r="GL26" s="306"/>
      <c r="GM26" s="306"/>
      <c r="GN26" s="306"/>
      <c r="GO26" s="306"/>
      <c r="GP26" s="306"/>
      <c r="GQ26" s="306"/>
      <c r="GR26" s="306"/>
      <c r="GS26" s="306"/>
      <c r="GT26" s="306"/>
      <c r="GU26" s="306"/>
      <c r="GV26" s="306"/>
      <c r="GW26" s="306"/>
      <c r="GX26" s="306"/>
      <c r="GY26" s="306"/>
      <c r="GZ26" s="306"/>
      <c r="HA26" s="306"/>
      <c r="HB26" s="306"/>
      <c r="HC26" s="306"/>
      <c r="HD26" s="306"/>
      <c r="HE26" s="306"/>
      <c r="HF26" s="306"/>
      <c r="HG26" s="306"/>
      <c r="HH26" s="306"/>
      <c r="HI26" s="306"/>
      <c r="HJ26" s="306"/>
      <c r="HK26" s="306"/>
      <c r="HL26" s="306"/>
      <c r="HM26" s="306"/>
      <c r="HN26" s="306"/>
      <c r="HO26" s="306"/>
      <c r="HP26" s="306"/>
      <c r="HQ26" s="306"/>
      <c r="HR26" s="306"/>
      <c r="HS26" s="306"/>
      <c r="HT26" s="306"/>
      <c r="HU26" s="306"/>
      <c r="HV26" s="306"/>
      <c r="HW26" s="306"/>
      <c r="HX26" s="306"/>
      <c r="HY26" s="306"/>
      <c r="HZ26" s="306"/>
      <c r="IA26" s="306"/>
      <c r="IB26" s="306"/>
      <c r="IC26" s="306"/>
      <c r="ID26" s="306"/>
      <c r="IE26" s="306"/>
    </row>
    <row r="27" spans="1:239" s="127" customFormat="1" ht="34.5" customHeight="1">
      <c r="A27" s="307">
        <v>54</v>
      </c>
      <c r="B27" s="357">
        <v>42831</v>
      </c>
      <c r="C27" s="307" t="s">
        <v>517</v>
      </c>
      <c r="D27" s="307" t="s">
        <v>536</v>
      </c>
      <c r="E27" s="307">
        <v>6</v>
      </c>
      <c r="F27" s="355" t="s">
        <v>711</v>
      </c>
      <c r="G27" s="307" t="s">
        <v>522</v>
      </c>
      <c r="H27" s="307">
        <v>5.78</v>
      </c>
      <c r="I27" s="307">
        <v>10</v>
      </c>
      <c r="J27" s="307">
        <v>135</v>
      </c>
      <c r="K27" s="307">
        <v>1</v>
      </c>
      <c r="L27" s="347"/>
      <c r="M27" s="346">
        <f t="shared" si="0"/>
        <v>57.800000000000004</v>
      </c>
      <c r="N27" s="346">
        <f t="shared" si="1"/>
        <v>780.3000000000001</v>
      </c>
      <c r="O27" s="34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  <c r="FN27" s="306"/>
      <c r="FO27" s="306"/>
      <c r="FP27" s="306"/>
      <c r="FQ27" s="306"/>
      <c r="FR27" s="306"/>
      <c r="FS27" s="306"/>
      <c r="FT27" s="306"/>
      <c r="FU27" s="306"/>
      <c r="FV27" s="306"/>
      <c r="FW27" s="306"/>
      <c r="FX27" s="306"/>
      <c r="FY27" s="306"/>
      <c r="FZ27" s="306"/>
      <c r="GA27" s="306"/>
      <c r="GB27" s="306"/>
      <c r="GC27" s="306"/>
      <c r="GD27" s="306"/>
      <c r="GE27" s="306"/>
      <c r="GF27" s="306"/>
      <c r="GG27" s="306"/>
      <c r="GH27" s="306"/>
      <c r="GI27" s="306"/>
      <c r="GJ27" s="306"/>
      <c r="GK27" s="306"/>
      <c r="GL27" s="306"/>
      <c r="GM27" s="306"/>
      <c r="GN27" s="306"/>
      <c r="GO27" s="306"/>
      <c r="GP27" s="306"/>
      <c r="GQ27" s="306"/>
      <c r="GR27" s="306"/>
      <c r="GS27" s="306"/>
      <c r="GT27" s="306"/>
      <c r="GU27" s="306"/>
      <c r="GV27" s="306"/>
      <c r="GW27" s="306"/>
      <c r="GX27" s="306"/>
      <c r="GY27" s="306"/>
      <c r="GZ27" s="306"/>
      <c r="HA27" s="306"/>
      <c r="HB27" s="306"/>
      <c r="HC27" s="306"/>
      <c r="HD27" s="306"/>
      <c r="HE27" s="306"/>
      <c r="HF27" s="306"/>
      <c r="HG27" s="306"/>
      <c r="HH27" s="306"/>
      <c r="HI27" s="306"/>
      <c r="HJ27" s="306"/>
      <c r="HK27" s="306"/>
      <c r="HL27" s="306"/>
      <c r="HM27" s="306"/>
      <c r="HN27" s="306"/>
      <c r="HO27" s="306"/>
      <c r="HP27" s="306"/>
      <c r="HQ27" s="306"/>
      <c r="HR27" s="306"/>
      <c r="HS27" s="306"/>
      <c r="HT27" s="306"/>
      <c r="HU27" s="306"/>
      <c r="HV27" s="306"/>
      <c r="HW27" s="306"/>
      <c r="HX27" s="306"/>
      <c r="HY27" s="306"/>
      <c r="HZ27" s="306"/>
      <c r="IA27" s="306"/>
      <c r="IB27" s="306"/>
      <c r="IC27" s="306"/>
      <c r="ID27" s="306"/>
      <c r="IE27" s="306"/>
    </row>
    <row r="28" spans="1:239" s="127" customFormat="1" ht="34.5" customHeight="1">
      <c r="A28" s="307">
        <v>55</v>
      </c>
      <c r="B28" s="357">
        <v>42839</v>
      </c>
      <c r="C28" s="307" t="s">
        <v>517</v>
      </c>
      <c r="D28" s="307" t="s">
        <v>530</v>
      </c>
      <c r="E28" s="307">
        <v>6</v>
      </c>
      <c r="F28" s="355" t="s">
        <v>711</v>
      </c>
      <c r="G28" s="307" t="s">
        <v>522</v>
      </c>
      <c r="H28" s="307">
        <v>5.08</v>
      </c>
      <c r="I28" s="307">
        <v>11</v>
      </c>
      <c r="J28" s="307">
        <v>180</v>
      </c>
      <c r="K28" s="307">
        <v>1</v>
      </c>
      <c r="L28" s="347"/>
      <c r="M28" s="346">
        <f t="shared" si="0"/>
        <v>55.88</v>
      </c>
      <c r="N28" s="346">
        <f t="shared" si="1"/>
        <v>914.4</v>
      </c>
      <c r="O28" s="34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  <c r="FN28" s="306"/>
      <c r="FO28" s="306"/>
      <c r="FP28" s="306"/>
      <c r="FQ28" s="306"/>
      <c r="FR28" s="306"/>
      <c r="FS28" s="306"/>
      <c r="FT28" s="306"/>
      <c r="FU28" s="306"/>
      <c r="FV28" s="306"/>
      <c r="FW28" s="306"/>
      <c r="FX28" s="306"/>
      <c r="FY28" s="306"/>
      <c r="FZ28" s="306"/>
      <c r="GA28" s="306"/>
      <c r="GB28" s="306"/>
      <c r="GC28" s="306"/>
      <c r="GD28" s="306"/>
      <c r="GE28" s="306"/>
      <c r="GF28" s="306"/>
      <c r="GG28" s="306"/>
      <c r="GH28" s="306"/>
      <c r="GI28" s="306"/>
      <c r="GJ28" s="306"/>
      <c r="GK28" s="306"/>
      <c r="GL28" s="306"/>
      <c r="GM28" s="306"/>
      <c r="GN28" s="306"/>
      <c r="GO28" s="306"/>
      <c r="GP28" s="306"/>
      <c r="GQ28" s="306"/>
      <c r="GR28" s="306"/>
      <c r="GS28" s="306"/>
      <c r="GT28" s="306"/>
      <c r="GU28" s="306"/>
      <c r="GV28" s="306"/>
      <c r="GW28" s="306"/>
      <c r="GX28" s="306"/>
      <c r="GY28" s="306"/>
      <c r="GZ28" s="306"/>
      <c r="HA28" s="306"/>
      <c r="HB28" s="306"/>
      <c r="HC28" s="306"/>
      <c r="HD28" s="306"/>
      <c r="HE28" s="306"/>
      <c r="HF28" s="306"/>
      <c r="HG28" s="306"/>
      <c r="HH28" s="306"/>
      <c r="HI28" s="306"/>
      <c r="HJ28" s="306"/>
      <c r="HK28" s="306"/>
      <c r="HL28" s="306"/>
      <c r="HM28" s="306"/>
      <c r="HN28" s="306"/>
      <c r="HO28" s="306"/>
      <c r="HP28" s="306"/>
      <c r="HQ28" s="306"/>
      <c r="HR28" s="306"/>
      <c r="HS28" s="306"/>
      <c r="HT28" s="306"/>
      <c r="HU28" s="306"/>
      <c r="HV28" s="306"/>
      <c r="HW28" s="306"/>
      <c r="HX28" s="306"/>
      <c r="HY28" s="306"/>
      <c r="HZ28" s="306"/>
      <c r="IA28" s="306"/>
      <c r="IB28" s="306"/>
      <c r="IC28" s="306"/>
      <c r="ID28" s="306"/>
      <c r="IE28" s="306"/>
    </row>
    <row r="29" spans="1:239" s="127" customFormat="1" ht="34.5" customHeight="1">
      <c r="A29" s="307">
        <v>56</v>
      </c>
      <c r="B29" s="357">
        <v>42842</v>
      </c>
      <c r="C29" s="307" t="s">
        <v>517</v>
      </c>
      <c r="D29" s="307" t="s">
        <v>537</v>
      </c>
      <c r="E29" s="307">
        <v>6</v>
      </c>
      <c r="F29" s="355" t="s">
        <v>711</v>
      </c>
      <c r="G29" s="307" t="s">
        <v>522</v>
      </c>
      <c r="H29" s="307">
        <v>6</v>
      </c>
      <c r="I29" s="307">
        <v>2</v>
      </c>
      <c r="J29" s="307">
        <v>43</v>
      </c>
      <c r="K29" s="307">
        <v>1</v>
      </c>
      <c r="L29" s="347"/>
      <c r="M29" s="346">
        <f t="shared" si="0"/>
        <v>12</v>
      </c>
      <c r="N29" s="346">
        <f t="shared" si="1"/>
        <v>258</v>
      </c>
      <c r="O29" s="34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  <c r="FN29" s="306"/>
      <c r="FO29" s="306"/>
      <c r="FP29" s="306"/>
      <c r="FQ29" s="306"/>
      <c r="FR29" s="306"/>
      <c r="FS29" s="306"/>
      <c r="FT29" s="306"/>
      <c r="FU29" s="306"/>
      <c r="FV29" s="306"/>
      <c r="FW29" s="306"/>
      <c r="FX29" s="306"/>
      <c r="FY29" s="306"/>
      <c r="FZ29" s="306"/>
      <c r="GA29" s="306"/>
      <c r="GB29" s="306"/>
      <c r="GC29" s="306"/>
      <c r="GD29" s="306"/>
      <c r="GE29" s="306"/>
      <c r="GF29" s="306"/>
      <c r="GG29" s="306"/>
      <c r="GH29" s="306"/>
      <c r="GI29" s="306"/>
      <c r="GJ29" s="306"/>
      <c r="GK29" s="306"/>
      <c r="GL29" s="306"/>
      <c r="GM29" s="306"/>
      <c r="GN29" s="306"/>
      <c r="GO29" s="306"/>
      <c r="GP29" s="306"/>
      <c r="GQ29" s="306"/>
      <c r="GR29" s="306"/>
      <c r="GS29" s="306"/>
      <c r="GT29" s="306"/>
      <c r="GU29" s="306"/>
      <c r="GV29" s="306"/>
      <c r="GW29" s="306"/>
      <c r="GX29" s="306"/>
      <c r="GY29" s="306"/>
      <c r="GZ29" s="306"/>
      <c r="HA29" s="306"/>
      <c r="HB29" s="306"/>
      <c r="HC29" s="306"/>
      <c r="HD29" s="306"/>
      <c r="HE29" s="306"/>
      <c r="HF29" s="306"/>
      <c r="HG29" s="306"/>
      <c r="HH29" s="306"/>
      <c r="HI29" s="306"/>
      <c r="HJ29" s="306"/>
      <c r="HK29" s="306"/>
      <c r="HL29" s="306"/>
      <c r="HM29" s="306"/>
      <c r="HN29" s="306"/>
      <c r="HO29" s="306"/>
      <c r="HP29" s="306"/>
      <c r="HQ29" s="306"/>
      <c r="HR29" s="306"/>
      <c r="HS29" s="306"/>
      <c r="HT29" s="306"/>
      <c r="HU29" s="306"/>
      <c r="HV29" s="306"/>
      <c r="HW29" s="306"/>
      <c r="HX29" s="306"/>
      <c r="HY29" s="306"/>
      <c r="HZ29" s="306"/>
      <c r="IA29" s="306"/>
      <c r="IB29" s="306"/>
      <c r="IC29" s="306"/>
      <c r="ID29" s="306"/>
      <c r="IE29" s="306"/>
    </row>
    <row r="30" spans="1:239" s="127" customFormat="1" ht="34.5" customHeight="1">
      <c r="A30" s="307">
        <v>11</v>
      </c>
      <c r="B30" s="357">
        <v>42858</v>
      </c>
      <c r="C30" s="307" t="s">
        <v>517</v>
      </c>
      <c r="D30" s="307" t="s">
        <v>530</v>
      </c>
      <c r="E30" s="307">
        <v>0.4</v>
      </c>
      <c r="F30" s="355" t="s">
        <v>711</v>
      </c>
      <c r="G30" s="307" t="s">
        <v>516</v>
      </c>
      <c r="H30" s="307">
        <v>3</v>
      </c>
      <c r="I30" s="307">
        <v>1</v>
      </c>
      <c r="J30" s="307">
        <v>33</v>
      </c>
      <c r="K30" s="307">
        <v>1</v>
      </c>
      <c r="L30" s="346"/>
      <c r="M30" s="346">
        <f t="shared" si="0"/>
        <v>3</v>
      </c>
      <c r="N30" s="346">
        <f t="shared" si="1"/>
        <v>99</v>
      </c>
      <c r="O30" s="34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6"/>
      <c r="GF30" s="306"/>
      <c r="GG30" s="306"/>
      <c r="GH30" s="306"/>
      <c r="GI30" s="306"/>
      <c r="GJ30" s="306"/>
      <c r="GK30" s="306"/>
      <c r="GL30" s="306"/>
      <c r="GM30" s="306"/>
      <c r="GN30" s="306"/>
      <c r="GO30" s="306"/>
      <c r="GP30" s="306"/>
      <c r="GQ30" s="306"/>
      <c r="GR30" s="306"/>
      <c r="GS30" s="306"/>
      <c r="GT30" s="306"/>
      <c r="GU30" s="306"/>
      <c r="GV30" s="306"/>
      <c r="GW30" s="306"/>
      <c r="GX30" s="306"/>
      <c r="GY30" s="306"/>
      <c r="GZ30" s="306"/>
      <c r="HA30" s="306"/>
      <c r="HB30" s="306"/>
      <c r="HC30" s="306"/>
      <c r="HD30" s="306"/>
      <c r="HE30" s="306"/>
      <c r="HF30" s="306"/>
      <c r="HG30" s="306"/>
      <c r="HH30" s="306"/>
      <c r="HI30" s="306"/>
      <c r="HJ30" s="306"/>
      <c r="HK30" s="306"/>
      <c r="HL30" s="306"/>
      <c r="HM30" s="306"/>
      <c r="HN30" s="306"/>
      <c r="HO30" s="306"/>
      <c r="HP30" s="306"/>
      <c r="HQ30" s="306"/>
      <c r="HR30" s="306"/>
      <c r="HS30" s="306"/>
      <c r="HT30" s="306"/>
      <c r="HU30" s="306"/>
      <c r="HV30" s="306"/>
      <c r="HW30" s="306"/>
      <c r="HX30" s="306"/>
      <c r="HY30" s="306"/>
      <c r="HZ30" s="306"/>
      <c r="IA30" s="306"/>
      <c r="IB30" s="306"/>
      <c r="IC30" s="306"/>
      <c r="ID30" s="306"/>
      <c r="IE30" s="306"/>
    </row>
    <row r="31" spans="1:239" s="127" customFormat="1" ht="34.5" customHeight="1">
      <c r="A31" s="305">
        <v>20</v>
      </c>
      <c r="B31" s="356">
        <v>42866</v>
      </c>
      <c r="C31" s="305" t="s">
        <v>514</v>
      </c>
      <c r="D31" s="305" t="s">
        <v>538</v>
      </c>
      <c r="E31" s="305">
        <v>6</v>
      </c>
      <c r="F31" s="350" t="s">
        <v>711</v>
      </c>
      <c r="G31" s="305" t="s">
        <v>522</v>
      </c>
      <c r="H31" s="305">
        <v>6</v>
      </c>
      <c r="I31" s="305">
        <v>1</v>
      </c>
      <c r="J31" s="305">
        <v>100</v>
      </c>
      <c r="K31" s="305">
        <v>1</v>
      </c>
      <c r="L31" s="346"/>
      <c r="M31" s="346">
        <f t="shared" si="0"/>
        <v>6</v>
      </c>
      <c r="N31" s="346">
        <f t="shared" si="1"/>
        <v>600</v>
      </c>
      <c r="O31" s="34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  <c r="EN31" s="306"/>
      <c r="EO31" s="306"/>
      <c r="EP31" s="306"/>
      <c r="EQ31" s="306"/>
      <c r="ER31" s="306"/>
      <c r="ES31" s="306"/>
      <c r="ET31" s="306"/>
      <c r="EU31" s="306"/>
      <c r="EV31" s="306"/>
      <c r="EW31" s="306"/>
      <c r="EX31" s="306"/>
      <c r="EY31" s="306"/>
      <c r="EZ31" s="306"/>
      <c r="FA31" s="306"/>
      <c r="FB31" s="306"/>
      <c r="FC31" s="306"/>
      <c r="FD31" s="306"/>
      <c r="FE31" s="306"/>
      <c r="FF31" s="306"/>
      <c r="FG31" s="306"/>
      <c r="FH31" s="306"/>
      <c r="FI31" s="306"/>
      <c r="FJ31" s="306"/>
      <c r="FK31" s="306"/>
      <c r="FL31" s="306"/>
      <c r="FM31" s="306"/>
      <c r="FN31" s="306"/>
      <c r="FO31" s="306"/>
      <c r="FP31" s="306"/>
      <c r="FQ31" s="306"/>
      <c r="FR31" s="306"/>
      <c r="FS31" s="306"/>
      <c r="FT31" s="306"/>
      <c r="FU31" s="306"/>
      <c r="FV31" s="306"/>
      <c r="FW31" s="306"/>
      <c r="FX31" s="306"/>
      <c r="FY31" s="306"/>
      <c r="FZ31" s="306"/>
      <c r="GA31" s="306"/>
      <c r="GB31" s="306"/>
      <c r="GC31" s="306"/>
      <c r="GD31" s="306"/>
      <c r="GE31" s="306"/>
      <c r="GF31" s="306"/>
      <c r="GG31" s="306"/>
      <c r="GH31" s="306"/>
      <c r="GI31" s="306"/>
      <c r="GJ31" s="306"/>
      <c r="GK31" s="306"/>
      <c r="GL31" s="306"/>
      <c r="GM31" s="306"/>
      <c r="GN31" s="306"/>
      <c r="GO31" s="306"/>
      <c r="GP31" s="306"/>
      <c r="GQ31" s="306"/>
      <c r="GR31" s="306"/>
      <c r="GS31" s="306"/>
      <c r="GT31" s="306"/>
      <c r="GU31" s="306"/>
      <c r="GV31" s="306"/>
      <c r="GW31" s="306"/>
      <c r="GX31" s="306"/>
      <c r="GY31" s="306"/>
      <c r="GZ31" s="306"/>
      <c r="HA31" s="306"/>
      <c r="HB31" s="306"/>
      <c r="HC31" s="306"/>
      <c r="HD31" s="306"/>
      <c r="HE31" s="306"/>
      <c r="HF31" s="306"/>
      <c r="HG31" s="306"/>
      <c r="HH31" s="306"/>
      <c r="HI31" s="306"/>
      <c r="HJ31" s="306"/>
      <c r="HK31" s="306"/>
      <c r="HL31" s="306"/>
      <c r="HM31" s="306"/>
      <c r="HN31" s="306"/>
      <c r="HO31" s="306"/>
      <c r="HP31" s="306"/>
      <c r="HQ31" s="306"/>
      <c r="HR31" s="306"/>
      <c r="HS31" s="306"/>
      <c r="HT31" s="306"/>
      <c r="HU31" s="306"/>
      <c r="HV31" s="306"/>
      <c r="HW31" s="306"/>
      <c r="HX31" s="306"/>
      <c r="HY31" s="306"/>
      <c r="HZ31" s="306"/>
      <c r="IA31" s="306"/>
      <c r="IB31" s="306"/>
      <c r="IC31" s="306"/>
      <c r="ID31" s="306"/>
      <c r="IE31" s="306"/>
    </row>
    <row r="32" spans="1:239" s="127" customFormat="1" ht="34.5" customHeight="1">
      <c r="A32" s="305">
        <v>21</v>
      </c>
      <c r="B32" s="356">
        <v>42886</v>
      </c>
      <c r="C32" s="305" t="s">
        <v>514</v>
      </c>
      <c r="D32" s="305" t="s">
        <v>539</v>
      </c>
      <c r="E32" s="305">
        <v>6</v>
      </c>
      <c r="F32" s="350" t="s">
        <v>711</v>
      </c>
      <c r="G32" s="305" t="s">
        <v>522</v>
      </c>
      <c r="H32" s="305">
        <v>1</v>
      </c>
      <c r="I32" s="305">
        <v>9</v>
      </c>
      <c r="J32" s="305">
        <v>795.88</v>
      </c>
      <c r="K32" s="305">
        <v>1</v>
      </c>
      <c r="L32" s="346"/>
      <c r="M32" s="346">
        <f t="shared" si="0"/>
        <v>9</v>
      </c>
      <c r="N32" s="346">
        <f t="shared" si="1"/>
        <v>795.88</v>
      </c>
      <c r="O32" s="34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6"/>
      <c r="FO32" s="306"/>
      <c r="FP32" s="306"/>
      <c r="FQ32" s="306"/>
      <c r="FR32" s="306"/>
      <c r="FS32" s="306"/>
      <c r="FT32" s="306"/>
      <c r="FU32" s="306"/>
      <c r="FV32" s="306"/>
      <c r="FW32" s="306"/>
      <c r="FX32" s="306"/>
      <c r="FY32" s="306"/>
      <c r="FZ32" s="306"/>
      <c r="GA32" s="306"/>
      <c r="GB32" s="306"/>
      <c r="GC32" s="306"/>
      <c r="GD32" s="306"/>
      <c r="GE32" s="306"/>
      <c r="GF32" s="306"/>
      <c r="GG32" s="306"/>
      <c r="GH32" s="306"/>
      <c r="GI32" s="306"/>
      <c r="GJ32" s="306"/>
      <c r="GK32" s="306"/>
      <c r="GL32" s="306"/>
      <c r="GM32" s="306"/>
      <c r="GN32" s="306"/>
      <c r="GO32" s="306"/>
      <c r="GP32" s="306"/>
      <c r="GQ32" s="306"/>
      <c r="GR32" s="306"/>
      <c r="GS32" s="306"/>
      <c r="GT32" s="306"/>
      <c r="GU32" s="306"/>
      <c r="GV32" s="306"/>
      <c r="GW32" s="306"/>
      <c r="GX32" s="306"/>
      <c r="GY32" s="306"/>
      <c r="GZ32" s="306"/>
      <c r="HA32" s="306"/>
      <c r="HB32" s="306"/>
      <c r="HC32" s="306"/>
      <c r="HD32" s="306"/>
      <c r="HE32" s="306"/>
      <c r="HF32" s="306"/>
      <c r="HG32" s="306"/>
      <c r="HH32" s="306"/>
      <c r="HI32" s="306"/>
      <c r="HJ32" s="306"/>
      <c r="HK32" s="306"/>
      <c r="HL32" s="306"/>
      <c r="HM32" s="306"/>
      <c r="HN32" s="306"/>
      <c r="HO32" s="306"/>
      <c r="HP32" s="306"/>
      <c r="HQ32" s="306"/>
      <c r="HR32" s="306"/>
      <c r="HS32" s="306"/>
      <c r="HT32" s="306"/>
      <c r="HU32" s="306"/>
      <c r="HV32" s="306"/>
      <c r="HW32" s="306"/>
      <c r="HX32" s="306"/>
      <c r="HY32" s="306"/>
      <c r="HZ32" s="306"/>
      <c r="IA32" s="306"/>
      <c r="IB32" s="306"/>
      <c r="IC32" s="306"/>
      <c r="ID32" s="306"/>
      <c r="IE32" s="306"/>
    </row>
    <row r="33" spans="1:239" s="127" customFormat="1" ht="34.5" customHeight="1">
      <c r="A33" s="307">
        <v>30</v>
      </c>
      <c r="B33" s="357">
        <v>42858</v>
      </c>
      <c r="C33" s="307" t="s">
        <v>517</v>
      </c>
      <c r="D33" s="307" t="s">
        <v>540</v>
      </c>
      <c r="E33" s="307">
        <v>0.4</v>
      </c>
      <c r="F33" s="355" t="s">
        <v>711</v>
      </c>
      <c r="G33" s="307" t="s">
        <v>522</v>
      </c>
      <c r="H33" s="307">
        <v>2</v>
      </c>
      <c r="I33" s="307">
        <v>1</v>
      </c>
      <c r="J33" s="307">
        <v>30.72</v>
      </c>
      <c r="K33" s="307">
        <v>1</v>
      </c>
      <c r="L33" s="346"/>
      <c r="M33" s="346">
        <f t="shared" si="0"/>
        <v>2</v>
      </c>
      <c r="N33" s="346">
        <f t="shared" si="1"/>
        <v>61.44</v>
      </c>
      <c r="O33" s="34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6"/>
      <c r="FL33" s="306"/>
      <c r="FM33" s="306"/>
      <c r="FN33" s="306"/>
      <c r="FO33" s="306"/>
      <c r="FP33" s="306"/>
      <c r="FQ33" s="306"/>
      <c r="FR33" s="306"/>
      <c r="FS33" s="306"/>
      <c r="FT33" s="306"/>
      <c r="FU33" s="306"/>
      <c r="FV33" s="306"/>
      <c r="FW33" s="306"/>
      <c r="FX33" s="306"/>
      <c r="FY33" s="306"/>
      <c r="FZ33" s="306"/>
      <c r="GA33" s="306"/>
      <c r="GB33" s="306"/>
      <c r="GC33" s="306"/>
      <c r="GD33" s="306"/>
      <c r="GE33" s="306"/>
      <c r="GF33" s="306"/>
      <c r="GG33" s="306"/>
      <c r="GH33" s="306"/>
      <c r="GI33" s="306"/>
      <c r="GJ33" s="306"/>
      <c r="GK33" s="306"/>
      <c r="GL33" s="306"/>
      <c r="GM33" s="306"/>
      <c r="GN33" s="306"/>
      <c r="GO33" s="306"/>
      <c r="GP33" s="306"/>
      <c r="GQ33" s="306"/>
      <c r="GR33" s="306"/>
      <c r="GS33" s="306"/>
      <c r="GT33" s="306"/>
      <c r="GU33" s="306"/>
      <c r="GV33" s="306"/>
      <c r="GW33" s="306"/>
      <c r="GX33" s="306"/>
      <c r="GY33" s="306"/>
      <c r="GZ33" s="306"/>
      <c r="HA33" s="306"/>
      <c r="HB33" s="306"/>
      <c r="HC33" s="306"/>
      <c r="HD33" s="306"/>
      <c r="HE33" s="306"/>
      <c r="HF33" s="306"/>
      <c r="HG33" s="306"/>
      <c r="HH33" s="306"/>
      <c r="HI33" s="306"/>
      <c r="HJ33" s="306"/>
      <c r="HK33" s="306"/>
      <c r="HL33" s="306"/>
      <c r="HM33" s="306"/>
      <c r="HN33" s="306"/>
      <c r="HO33" s="306"/>
      <c r="HP33" s="306"/>
      <c r="HQ33" s="306"/>
      <c r="HR33" s="306"/>
      <c r="HS33" s="306"/>
      <c r="HT33" s="306"/>
      <c r="HU33" s="306"/>
      <c r="HV33" s="306"/>
      <c r="HW33" s="306"/>
      <c r="HX33" s="306"/>
      <c r="HY33" s="306"/>
      <c r="HZ33" s="306"/>
      <c r="IA33" s="306"/>
      <c r="IB33" s="306"/>
      <c r="IC33" s="306"/>
      <c r="ID33" s="306"/>
      <c r="IE33" s="306"/>
    </row>
    <row r="34" spans="1:239" s="127" customFormat="1" ht="34.5" customHeight="1">
      <c r="A34" s="307">
        <v>31</v>
      </c>
      <c r="B34" s="357">
        <v>42866</v>
      </c>
      <c r="C34" s="307" t="s">
        <v>517</v>
      </c>
      <c r="D34" s="307" t="s">
        <v>541</v>
      </c>
      <c r="E34" s="307">
        <v>0.4</v>
      </c>
      <c r="F34" s="355" t="s">
        <v>711</v>
      </c>
      <c r="G34" s="307" t="s">
        <v>522</v>
      </c>
      <c r="H34" s="307">
        <v>4.33</v>
      </c>
      <c r="I34" s="307">
        <v>1</v>
      </c>
      <c r="J34" s="307">
        <v>20.34</v>
      </c>
      <c r="K34" s="307">
        <v>1</v>
      </c>
      <c r="L34" s="346"/>
      <c r="M34" s="346">
        <f t="shared" si="0"/>
        <v>4.33</v>
      </c>
      <c r="N34" s="346">
        <f t="shared" si="1"/>
        <v>88.0722</v>
      </c>
      <c r="O34" s="34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  <c r="HI34" s="306"/>
      <c r="HJ34" s="306"/>
      <c r="HK34" s="306"/>
      <c r="HL34" s="306"/>
      <c r="HM34" s="306"/>
      <c r="HN34" s="306"/>
      <c r="HO34" s="306"/>
      <c r="HP34" s="306"/>
      <c r="HQ34" s="306"/>
      <c r="HR34" s="306"/>
      <c r="HS34" s="306"/>
      <c r="HT34" s="306"/>
      <c r="HU34" s="306"/>
      <c r="HV34" s="306"/>
      <c r="HW34" s="306"/>
      <c r="HX34" s="306"/>
      <c r="HY34" s="306"/>
      <c r="HZ34" s="306"/>
      <c r="IA34" s="306"/>
      <c r="IB34" s="306"/>
      <c r="IC34" s="306"/>
      <c r="ID34" s="306"/>
      <c r="IE34" s="306"/>
    </row>
    <row r="35" spans="1:239" s="127" customFormat="1" ht="34.5" customHeight="1">
      <c r="A35" s="307">
        <v>32</v>
      </c>
      <c r="B35" s="357">
        <v>42858</v>
      </c>
      <c r="C35" s="307" t="s">
        <v>517</v>
      </c>
      <c r="D35" s="307" t="s">
        <v>542</v>
      </c>
      <c r="E35" s="307">
        <v>0.4</v>
      </c>
      <c r="F35" s="355" t="s">
        <v>711</v>
      </c>
      <c r="G35" s="307" t="s">
        <v>522</v>
      </c>
      <c r="H35" s="307">
        <v>2</v>
      </c>
      <c r="I35" s="307">
        <v>3</v>
      </c>
      <c r="J35" s="307">
        <v>3.94</v>
      </c>
      <c r="K35" s="307">
        <v>1</v>
      </c>
      <c r="L35" s="346"/>
      <c r="M35" s="346">
        <f t="shared" si="0"/>
        <v>6</v>
      </c>
      <c r="N35" s="346">
        <f t="shared" si="1"/>
        <v>7.88</v>
      </c>
      <c r="O35" s="34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6"/>
      <c r="GF35" s="306"/>
      <c r="GG35" s="306"/>
      <c r="GH35" s="306"/>
      <c r="GI35" s="306"/>
      <c r="GJ35" s="306"/>
      <c r="GK35" s="306"/>
      <c r="GL35" s="306"/>
      <c r="GM35" s="306"/>
      <c r="GN35" s="306"/>
      <c r="GO35" s="306"/>
      <c r="GP35" s="306"/>
      <c r="GQ35" s="306"/>
      <c r="GR35" s="306"/>
      <c r="GS35" s="306"/>
      <c r="GT35" s="306"/>
      <c r="GU35" s="306"/>
      <c r="GV35" s="306"/>
      <c r="GW35" s="306"/>
      <c r="GX35" s="306"/>
      <c r="GY35" s="306"/>
      <c r="GZ35" s="306"/>
      <c r="HA35" s="306"/>
      <c r="HB35" s="306"/>
      <c r="HC35" s="306"/>
      <c r="HD35" s="306"/>
      <c r="HE35" s="306"/>
      <c r="HF35" s="306"/>
      <c r="HG35" s="306"/>
      <c r="HH35" s="306"/>
      <c r="HI35" s="306"/>
      <c r="HJ35" s="306"/>
      <c r="HK35" s="306"/>
      <c r="HL35" s="306"/>
      <c r="HM35" s="306"/>
      <c r="HN35" s="306"/>
      <c r="HO35" s="306"/>
      <c r="HP35" s="306"/>
      <c r="HQ35" s="306"/>
      <c r="HR35" s="306"/>
      <c r="HS35" s="306"/>
      <c r="HT35" s="306"/>
      <c r="HU35" s="306"/>
      <c r="HV35" s="306"/>
      <c r="HW35" s="306"/>
      <c r="HX35" s="306"/>
      <c r="HY35" s="306"/>
      <c r="HZ35" s="306"/>
      <c r="IA35" s="306"/>
      <c r="IB35" s="306"/>
      <c r="IC35" s="306"/>
      <c r="ID35" s="306"/>
      <c r="IE35" s="306"/>
    </row>
    <row r="36" spans="1:239" s="127" customFormat="1" ht="34.5" customHeight="1">
      <c r="A36" s="307">
        <v>33</v>
      </c>
      <c r="B36" s="357">
        <v>42866</v>
      </c>
      <c r="C36" s="307" t="s">
        <v>517</v>
      </c>
      <c r="D36" s="307" t="s">
        <v>543</v>
      </c>
      <c r="E36" s="307">
        <v>10</v>
      </c>
      <c r="F36" s="355" t="s">
        <v>711</v>
      </c>
      <c r="G36" s="307" t="s">
        <v>522</v>
      </c>
      <c r="H36" s="307">
        <v>3.08</v>
      </c>
      <c r="I36" s="307">
        <v>15</v>
      </c>
      <c r="J36" s="307">
        <v>74.53</v>
      </c>
      <c r="K36" s="307">
        <v>1</v>
      </c>
      <c r="L36" s="346"/>
      <c r="M36" s="346">
        <f t="shared" si="0"/>
        <v>46.2</v>
      </c>
      <c r="N36" s="346">
        <f t="shared" si="1"/>
        <v>229.5524</v>
      </c>
      <c r="O36" s="34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</row>
    <row r="37" spans="1:239" s="127" customFormat="1" ht="34.5" customHeight="1">
      <c r="A37" s="307">
        <v>34</v>
      </c>
      <c r="B37" s="357">
        <v>42870</v>
      </c>
      <c r="C37" s="307" t="s">
        <v>517</v>
      </c>
      <c r="D37" s="307" t="s">
        <v>544</v>
      </c>
      <c r="E37" s="307">
        <v>10</v>
      </c>
      <c r="F37" s="355" t="s">
        <v>711</v>
      </c>
      <c r="G37" s="307" t="s">
        <v>522</v>
      </c>
      <c r="H37" s="307">
        <v>8.33</v>
      </c>
      <c r="I37" s="307">
        <v>3</v>
      </c>
      <c r="J37" s="307">
        <v>142.32</v>
      </c>
      <c r="K37" s="307">
        <v>1</v>
      </c>
      <c r="L37" s="346"/>
      <c r="M37" s="346">
        <f t="shared" si="0"/>
        <v>24.990000000000002</v>
      </c>
      <c r="N37" s="346">
        <f t="shared" si="1"/>
        <v>1185.5256</v>
      </c>
      <c r="O37" s="34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306"/>
      <c r="FO37" s="306"/>
      <c r="FP37" s="306"/>
      <c r="FQ37" s="306"/>
      <c r="FR37" s="306"/>
      <c r="FS37" s="306"/>
      <c r="FT37" s="306"/>
      <c r="FU37" s="306"/>
      <c r="FV37" s="306"/>
      <c r="FW37" s="306"/>
      <c r="FX37" s="306"/>
      <c r="FY37" s="306"/>
      <c r="FZ37" s="306"/>
      <c r="GA37" s="306"/>
      <c r="GB37" s="306"/>
      <c r="GC37" s="306"/>
      <c r="GD37" s="306"/>
      <c r="GE37" s="306"/>
      <c r="GF37" s="306"/>
      <c r="GG37" s="306"/>
      <c r="GH37" s="306"/>
      <c r="GI37" s="306"/>
      <c r="GJ37" s="306"/>
      <c r="GK37" s="306"/>
      <c r="GL37" s="306"/>
      <c r="GM37" s="306"/>
      <c r="GN37" s="306"/>
      <c r="GO37" s="306"/>
      <c r="GP37" s="306"/>
      <c r="GQ37" s="306"/>
      <c r="GR37" s="306"/>
      <c r="GS37" s="306"/>
      <c r="GT37" s="306"/>
      <c r="GU37" s="306"/>
      <c r="GV37" s="306"/>
      <c r="GW37" s="306"/>
      <c r="GX37" s="306"/>
      <c r="GY37" s="306"/>
      <c r="GZ37" s="306"/>
      <c r="HA37" s="306"/>
      <c r="HB37" s="306"/>
      <c r="HC37" s="306"/>
      <c r="HD37" s="306"/>
      <c r="HE37" s="306"/>
      <c r="HF37" s="306"/>
      <c r="HG37" s="306"/>
      <c r="HH37" s="306"/>
      <c r="HI37" s="306"/>
      <c r="HJ37" s="306"/>
      <c r="HK37" s="306"/>
      <c r="HL37" s="306"/>
      <c r="HM37" s="306"/>
      <c r="HN37" s="306"/>
      <c r="HO37" s="306"/>
      <c r="HP37" s="306"/>
      <c r="HQ37" s="306"/>
      <c r="HR37" s="306"/>
      <c r="HS37" s="306"/>
      <c r="HT37" s="306"/>
      <c r="HU37" s="306"/>
      <c r="HV37" s="306"/>
      <c r="HW37" s="306"/>
      <c r="HX37" s="306"/>
      <c r="HY37" s="306"/>
      <c r="HZ37" s="306"/>
      <c r="IA37" s="306"/>
      <c r="IB37" s="306"/>
      <c r="IC37" s="306"/>
      <c r="ID37" s="306"/>
      <c r="IE37" s="306"/>
    </row>
    <row r="38" spans="1:239" s="127" customFormat="1" ht="34.5" customHeight="1">
      <c r="A38" s="307">
        <v>35</v>
      </c>
      <c r="B38" s="357">
        <v>42877</v>
      </c>
      <c r="C38" s="307" t="s">
        <v>517</v>
      </c>
      <c r="D38" s="307" t="s">
        <v>545</v>
      </c>
      <c r="E38" s="307">
        <v>0.4</v>
      </c>
      <c r="F38" s="355" t="s">
        <v>711</v>
      </c>
      <c r="G38" s="307" t="s">
        <v>522</v>
      </c>
      <c r="H38" s="307">
        <v>4.5</v>
      </c>
      <c r="I38" s="307">
        <v>1</v>
      </c>
      <c r="J38" s="307">
        <v>29.68</v>
      </c>
      <c r="K38" s="307">
        <v>1</v>
      </c>
      <c r="L38" s="346"/>
      <c r="M38" s="346">
        <f t="shared" si="0"/>
        <v>4.5</v>
      </c>
      <c r="N38" s="346">
        <f t="shared" si="1"/>
        <v>133.56</v>
      </c>
      <c r="O38" s="34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  <c r="FL38" s="306"/>
      <c r="FM38" s="306"/>
      <c r="FN38" s="306"/>
      <c r="FO38" s="306"/>
      <c r="FP38" s="306"/>
      <c r="FQ38" s="306"/>
      <c r="FR38" s="306"/>
      <c r="FS38" s="306"/>
      <c r="FT38" s="306"/>
      <c r="FU38" s="306"/>
      <c r="FV38" s="306"/>
      <c r="FW38" s="306"/>
      <c r="FX38" s="306"/>
      <c r="FY38" s="306"/>
      <c r="FZ38" s="306"/>
      <c r="GA38" s="306"/>
      <c r="GB38" s="306"/>
      <c r="GC38" s="306"/>
      <c r="GD38" s="306"/>
      <c r="GE38" s="306"/>
      <c r="GF38" s="306"/>
      <c r="GG38" s="306"/>
      <c r="GH38" s="306"/>
      <c r="GI38" s="306"/>
      <c r="GJ38" s="306"/>
      <c r="GK38" s="306"/>
      <c r="GL38" s="306"/>
      <c r="GM38" s="306"/>
      <c r="GN38" s="306"/>
      <c r="GO38" s="306"/>
      <c r="GP38" s="306"/>
      <c r="GQ38" s="306"/>
      <c r="GR38" s="306"/>
      <c r="GS38" s="306"/>
      <c r="GT38" s="306"/>
      <c r="GU38" s="306"/>
      <c r="GV38" s="306"/>
      <c r="GW38" s="306"/>
      <c r="GX38" s="306"/>
      <c r="GY38" s="306"/>
      <c r="GZ38" s="306"/>
      <c r="HA38" s="306"/>
      <c r="HB38" s="306"/>
      <c r="HC38" s="306"/>
      <c r="HD38" s="306"/>
      <c r="HE38" s="306"/>
      <c r="HF38" s="306"/>
      <c r="HG38" s="306"/>
      <c r="HH38" s="306"/>
      <c r="HI38" s="306"/>
      <c r="HJ38" s="306"/>
      <c r="HK38" s="306"/>
      <c r="HL38" s="306"/>
      <c r="HM38" s="306"/>
      <c r="HN38" s="306"/>
      <c r="HO38" s="306"/>
      <c r="HP38" s="306"/>
      <c r="HQ38" s="306"/>
      <c r="HR38" s="306"/>
      <c r="HS38" s="306"/>
      <c r="HT38" s="306"/>
      <c r="HU38" s="306"/>
      <c r="HV38" s="306"/>
      <c r="HW38" s="306"/>
      <c r="HX38" s="306"/>
      <c r="HY38" s="306"/>
      <c r="HZ38" s="306"/>
      <c r="IA38" s="306"/>
      <c r="IB38" s="306"/>
      <c r="IC38" s="306"/>
      <c r="ID38" s="306"/>
      <c r="IE38" s="306"/>
    </row>
    <row r="39" spans="1:239" s="127" customFormat="1" ht="34.5" customHeight="1">
      <c r="A39" s="307">
        <v>36</v>
      </c>
      <c r="B39" s="357">
        <v>42877</v>
      </c>
      <c r="C39" s="307" t="s">
        <v>517</v>
      </c>
      <c r="D39" s="307" t="s">
        <v>545</v>
      </c>
      <c r="E39" s="307">
        <v>0.4</v>
      </c>
      <c r="F39" s="355" t="s">
        <v>711</v>
      </c>
      <c r="G39" s="307" t="s">
        <v>522</v>
      </c>
      <c r="H39" s="307">
        <v>4.5</v>
      </c>
      <c r="I39" s="307">
        <v>1</v>
      </c>
      <c r="J39" s="307">
        <v>29.68</v>
      </c>
      <c r="K39" s="307">
        <v>1</v>
      </c>
      <c r="L39" s="346"/>
      <c r="M39" s="346">
        <f t="shared" si="0"/>
        <v>4.5</v>
      </c>
      <c r="N39" s="346">
        <f t="shared" si="1"/>
        <v>133.56</v>
      </c>
      <c r="O39" s="34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6"/>
      <c r="FF39" s="306"/>
      <c r="FG39" s="306"/>
      <c r="FH39" s="306"/>
      <c r="FI39" s="306"/>
      <c r="FJ39" s="306"/>
      <c r="FK39" s="306"/>
      <c r="FL39" s="306"/>
      <c r="FM39" s="306"/>
      <c r="FN39" s="306"/>
      <c r="FO39" s="306"/>
      <c r="FP39" s="306"/>
      <c r="FQ39" s="306"/>
      <c r="FR39" s="306"/>
      <c r="FS39" s="306"/>
      <c r="FT39" s="306"/>
      <c r="FU39" s="306"/>
      <c r="FV39" s="306"/>
      <c r="FW39" s="306"/>
      <c r="FX39" s="306"/>
      <c r="FY39" s="306"/>
      <c r="FZ39" s="306"/>
      <c r="GA39" s="306"/>
      <c r="GB39" s="306"/>
      <c r="GC39" s="306"/>
      <c r="GD39" s="306"/>
      <c r="GE39" s="306"/>
      <c r="GF39" s="306"/>
      <c r="GG39" s="306"/>
      <c r="GH39" s="306"/>
      <c r="GI39" s="306"/>
      <c r="GJ39" s="306"/>
      <c r="GK39" s="306"/>
      <c r="GL39" s="306"/>
      <c r="GM39" s="306"/>
      <c r="GN39" s="306"/>
      <c r="GO39" s="306"/>
      <c r="GP39" s="306"/>
      <c r="GQ39" s="306"/>
      <c r="GR39" s="306"/>
      <c r="GS39" s="306"/>
      <c r="GT39" s="306"/>
      <c r="GU39" s="306"/>
      <c r="GV39" s="306"/>
      <c r="GW39" s="306"/>
      <c r="GX39" s="306"/>
      <c r="GY39" s="306"/>
      <c r="GZ39" s="306"/>
      <c r="HA39" s="306"/>
      <c r="HB39" s="306"/>
      <c r="HC39" s="306"/>
      <c r="HD39" s="306"/>
      <c r="HE39" s="306"/>
      <c r="HF39" s="306"/>
      <c r="HG39" s="306"/>
      <c r="HH39" s="306"/>
      <c r="HI39" s="306"/>
      <c r="HJ39" s="306"/>
      <c r="HK39" s="306"/>
      <c r="HL39" s="306"/>
      <c r="HM39" s="306"/>
      <c r="HN39" s="306"/>
      <c r="HO39" s="306"/>
      <c r="HP39" s="306"/>
      <c r="HQ39" s="306"/>
      <c r="HR39" s="306"/>
      <c r="HS39" s="306"/>
      <c r="HT39" s="306"/>
      <c r="HU39" s="306"/>
      <c r="HV39" s="306"/>
      <c r="HW39" s="306"/>
      <c r="HX39" s="306"/>
      <c r="HY39" s="306"/>
      <c r="HZ39" s="306"/>
      <c r="IA39" s="306"/>
      <c r="IB39" s="306"/>
      <c r="IC39" s="306"/>
      <c r="ID39" s="306"/>
      <c r="IE39" s="306"/>
    </row>
    <row r="40" spans="1:239" s="127" customFormat="1" ht="34.5" customHeight="1">
      <c r="A40" s="307">
        <v>37</v>
      </c>
      <c r="B40" s="357">
        <v>42879</v>
      </c>
      <c r="C40" s="307" t="s">
        <v>517</v>
      </c>
      <c r="D40" s="307" t="s">
        <v>546</v>
      </c>
      <c r="E40" s="307">
        <v>0.4</v>
      </c>
      <c r="F40" s="355" t="s">
        <v>711</v>
      </c>
      <c r="G40" s="307" t="s">
        <v>522</v>
      </c>
      <c r="H40" s="307">
        <v>5.5</v>
      </c>
      <c r="I40" s="307">
        <v>2</v>
      </c>
      <c r="J40" s="307">
        <v>14.12</v>
      </c>
      <c r="K40" s="307">
        <v>1</v>
      </c>
      <c r="L40" s="346"/>
      <c r="M40" s="346">
        <f t="shared" si="0"/>
        <v>11</v>
      </c>
      <c r="N40" s="346">
        <f t="shared" si="1"/>
        <v>77.66</v>
      </c>
      <c r="O40" s="34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6"/>
      <c r="EO40" s="306"/>
      <c r="EP40" s="306"/>
      <c r="EQ40" s="306"/>
      <c r="ER40" s="306"/>
      <c r="ES40" s="306"/>
      <c r="ET40" s="306"/>
      <c r="EU40" s="306"/>
      <c r="EV40" s="306"/>
      <c r="EW40" s="306"/>
      <c r="EX40" s="306"/>
      <c r="EY40" s="306"/>
      <c r="EZ40" s="306"/>
      <c r="FA40" s="306"/>
      <c r="FB40" s="306"/>
      <c r="FC40" s="306"/>
      <c r="FD40" s="306"/>
      <c r="FE40" s="306"/>
      <c r="FF40" s="306"/>
      <c r="FG40" s="306"/>
      <c r="FH40" s="306"/>
      <c r="FI40" s="306"/>
      <c r="FJ40" s="306"/>
      <c r="FK40" s="306"/>
      <c r="FL40" s="306"/>
      <c r="FM40" s="306"/>
      <c r="FN40" s="306"/>
      <c r="FO40" s="306"/>
      <c r="FP40" s="306"/>
      <c r="FQ40" s="306"/>
      <c r="FR40" s="306"/>
      <c r="FS40" s="306"/>
      <c r="FT40" s="306"/>
      <c r="FU40" s="306"/>
      <c r="FV40" s="306"/>
      <c r="FW40" s="306"/>
      <c r="FX40" s="306"/>
      <c r="FY40" s="306"/>
      <c r="FZ40" s="306"/>
      <c r="GA40" s="306"/>
      <c r="GB40" s="306"/>
      <c r="GC40" s="306"/>
      <c r="GD40" s="306"/>
      <c r="GE40" s="306"/>
      <c r="GF40" s="306"/>
      <c r="GG40" s="306"/>
      <c r="GH40" s="306"/>
      <c r="GI40" s="306"/>
      <c r="GJ40" s="306"/>
      <c r="GK40" s="306"/>
      <c r="GL40" s="306"/>
      <c r="GM40" s="306"/>
      <c r="GN40" s="306"/>
      <c r="GO40" s="306"/>
      <c r="GP40" s="306"/>
      <c r="GQ40" s="306"/>
      <c r="GR40" s="306"/>
      <c r="GS40" s="306"/>
      <c r="GT40" s="306"/>
      <c r="GU40" s="306"/>
      <c r="GV40" s="306"/>
      <c r="GW40" s="306"/>
      <c r="GX40" s="306"/>
      <c r="GY40" s="306"/>
      <c r="GZ40" s="306"/>
      <c r="HA40" s="306"/>
      <c r="HB40" s="306"/>
      <c r="HC40" s="306"/>
      <c r="HD40" s="306"/>
      <c r="HE40" s="306"/>
      <c r="HF40" s="306"/>
      <c r="HG40" s="306"/>
      <c r="HH40" s="306"/>
      <c r="HI40" s="306"/>
      <c r="HJ40" s="306"/>
      <c r="HK40" s="306"/>
      <c r="HL40" s="306"/>
      <c r="HM40" s="306"/>
      <c r="HN40" s="306"/>
      <c r="HO40" s="306"/>
      <c r="HP40" s="306"/>
      <c r="HQ40" s="306"/>
      <c r="HR40" s="306"/>
      <c r="HS40" s="306"/>
      <c r="HT40" s="306"/>
      <c r="HU40" s="306"/>
      <c r="HV40" s="306"/>
      <c r="HW40" s="306"/>
      <c r="HX40" s="306"/>
      <c r="HY40" s="306"/>
      <c r="HZ40" s="306"/>
      <c r="IA40" s="306"/>
      <c r="IB40" s="306"/>
      <c r="IC40" s="306"/>
      <c r="ID40" s="306"/>
      <c r="IE40" s="306"/>
    </row>
    <row r="41" spans="1:239" s="127" customFormat="1" ht="34.5" customHeight="1">
      <c r="A41" s="307">
        <v>38</v>
      </c>
      <c r="B41" s="357">
        <v>42879</v>
      </c>
      <c r="C41" s="307" t="s">
        <v>517</v>
      </c>
      <c r="D41" s="307" t="s">
        <v>547</v>
      </c>
      <c r="E41" s="307">
        <v>0.4</v>
      </c>
      <c r="F41" s="355" t="s">
        <v>711</v>
      </c>
      <c r="G41" s="307" t="s">
        <v>522</v>
      </c>
      <c r="H41" s="307">
        <v>5.5</v>
      </c>
      <c r="I41" s="307">
        <v>1</v>
      </c>
      <c r="J41" s="307">
        <v>9.13</v>
      </c>
      <c r="K41" s="307">
        <v>1</v>
      </c>
      <c r="L41" s="346"/>
      <c r="M41" s="346">
        <f aca="true" t="shared" si="2" ref="M41:M72">H41*I41</f>
        <v>5.5</v>
      </c>
      <c r="N41" s="346">
        <f aca="true" t="shared" si="3" ref="N41:N72">H41*J41</f>
        <v>50.215</v>
      </c>
      <c r="O41" s="34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6"/>
      <c r="FJ41" s="306"/>
      <c r="FK41" s="306"/>
      <c r="FL41" s="306"/>
      <c r="FM41" s="306"/>
      <c r="FN41" s="306"/>
      <c r="FO41" s="306"/>
      <c r="FP41" s="306"/>
      <c r="FQ41" s="306"/>
      <c r="FR41" s="306"/>
      <c r="FS41" s="306"/>
      <c r="FT41" s="306"/>
      <c r="FU41" s="306"/>
      <c r="FV41" s="306"/>
      <c r="FW41" s="306"/>
      <c r="FX41" s="306"/>
      <c r="FY41" s="306"/>
      <c r="FZ41" s="306"/>
      <c r="GA41" s="306"/>
      <c r="GB41" s="306"/>
      <c r="GC41" s="306"/>
      <c r="GD41" s="306"/>
      <c r="GE41" s="306"/>
      <c r="GF41" s="306"/>
      <c r="GG41" s="306"/>
      <c r="GH41" s="306"/>
      <c r="GI41" s="306"/>
      <c r="GJ41" s="306"/>
      <c r="GK41" s="306"/>
      <c r="GL41" s="306"/>
      <c r="GM41" s="306"/>
      <c r="GN41" s="306"/>
      <c r="GO41" s="306"/>
      <c r="GP41" s="306"/>
      <c r="GQ41" s="306"/>
      <c r="GR41" s="306"/>
      <c r="GS41" s="306"/>
      <c r="GT41" s="306"/>
      <c r="GU41" s="306"/>
      <c r="GV41" s="306"/>
      <c r="GW41" s="306"/>
      <c r="GX41" s="306"/>
      <c r="GY41" s="306"/>
      <c r="GZ41" s="306"/>
      <c r="HA41" s="306"/>
      <c r="HB41" s="306"/>
      <c r="HC41" s="306"/>
      <c r="HD41" s="306"/>
      <c r="HE41" s="306"/>
      <c r="HF41" s="306"/>
      <c r="HG41" s="306"/>
      <c r="HH41" s="306"/>
      <c r="HI41" s="306"/>
      <c r="HJ41" s="306"/>
      <c r="HK41" s="306"/>
      <c r="HL41" s="306"/>
      <c r="HM41" s="306"/>
      <c r="HN41" s="306"/>
      <c r="HO41" s="306"/>
      <c r="HP41" s="306"/>
      <c r="HQ41" s="306"/>
      <c r="HR41" s="306"/>
      <c r="HS41" s="306"/>
      <c r="HT41" s="306"/>
      <c r="HU41" s="306"/>
      <c r="HV41" s="306"/>
      <c r="HW41" s="306"/>
      <c r="HX41" s="306"/>
      <c r="HY41" s="306"/>
      <c r="HZ41" s="306"/>
      <c r="IA41" s="306"/>
      <c r="IB41" s="306"/>
      <c r="IC41" s="306"/>
      <c r="ID41" s="306"/>
      <c r="IE41" s="306"/>
    </row>
    <row r="42" spans="1:239" s="127" customFormat="1" ht="34.5" customHeight="1">
      <c r="A42" s="307">
        <v>39</v>
      </c>
      <c r="B42" s="357">
        <v>42884</v>
      </c>
      <c r="C42" s="307" t="s">
        <v>517</v>
      </c>
      <c r="D42" s="307" t="s">
        <v>548</v>
      </c>
      <c r="E42" s="307">
        <v>10</v>
      </c>
      <c r="F42" s="355" t="s">
        <v>711</v>
      </c>
      <c r="G42" s="307" t="s">
        <v>522</v>
      </c>
      <c r="H42" s="307">
        <v>6.67</v>
      </c>
      <c r="I42" s="307">
        <v>4</v>
      </c>
      <c r="J42" s="307">
        <v>111.07</v>
      </c>
      <c r="K42" s="307">
        <v>1</v>
      </c>
      <c r="L42" s="346"/>
      <c r="M42" s="346">
        <f t="shared" si="2"/>
        <v>26.68</v>
      </c>
      <c r="N42" s="346">
        <f t="shared" si="3"/>
        <v>740.8368999999999</v>
      </c>
      <c r="O42" s="34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306"/>
      <c r="FN42" s="306"/>
      <c r="FO42" s="306"/>
      <c r="FP42" s="306"/>
      <c r="FQ42" s="306"/>
      <c r="FR42" s="306"/>
      <c r="FS42" s="306"/>
      <c r="FT42" s="306"/>
      <c r="FU42" s="306"/>
      <c r="FV42" s="306"/>
      <c r="FW42" s="306"/>
      <c r="FX42" s="306"/>
      <c r="FY42" s="306"/>
      <c r="FZ42" s="306"/>
      <c r="GA42" s="306"/>
      <c r="GB42" s="306"/>
      <c r="GC42" s="306"/>
      <c r="GD42" s="306"/>
      <c r="GE42" s="306"/>
      <c r="GF42" s="306"/>
      <c r="GG42" s="306"/>
      <c r="GH42" s="306"/>
      <c r="GI42" s="306"/>
      <c r="GJ42" s="306"/>
      <c r="GK42" s="306"/>
      <c r="GL42" s="306"/>
      <c r="GM42" s="306"/>
      <c r="GN42" s="306"/>
      <c r="GO42" s="306"/>
      <c r="GP42" s="306"/>
      <c r="GQ42" s="306"/>
      <c r="GR42" s="306"/>
      <c r="GS42" s="306"/>
      <c r="GT42" s="306"/>
      <c r="GU42" s="306"/>
      <c r="GV42" s="306"/>
      <c r="GW42" s="306"/>
      <c r="GX42" s="306"/>
      <c r="GY42" s="306"/>
      <c r="GZ42" s="306"/>
      <c r="HA42" s="306"/>
      <c r="HB42" s="306"/>
      <c r="HC42" s="306"/>
      <c r="HD42" s="306"/>
      <c r="HE42" s="306"/>
      <c r="HF42" s="306"/>
      <c r="HG42" s="306"/>
      <c r="HH42" s="306"/>
      <c r="HI42" s="306"/>
      <c r="HJ42" s="306"/>
      <c r="HK42" s="306"/>
      <c r="HL42" s="306"/>
      <c r="HM42" s="306"/>
      <c r="HN42" s="306"/>
      <c r="HO42" s="306"/>
      <c r="HP42" s="306"/>
      <c r="HQ42" s="306"/>
      <c r="HR42" s="306"/>
      <c r="HS42" s="306"/>
      <c r="HT42" s="306"/>
      <c r="HU42" s="306"/>
      <c r="HV42" s="306"/>
      <c r="HW42" s="306"/>
      <c r="HX42" s="306"/>
      <c r="HY42" s="306"/>
      <c r="HZ42" s="306"/>
      <c r="IA42" s="306"/>
      <c r="IB42" s="306"/>
      <c r="IC42" s="306"/>
      <c r="ID42" s="306"/>
      <c r="IE42" s="306"/>
    </row>
    <row r="43" spans="1:239" s="127" customFormat="1" ht="34.5" customHeight="1">
      <c r="A43" s="307">
        <v>57</v>
      </c>
      <c r="B43" s="357">
        <v>42867</v>
      </c>
      <c r="C43" s="307" t="s">
        <v>517</v>
      </c>
      <c r="D43" s="307" t="s">
        <v>549</v>
      </c>
      <c r="E43" s="307">
        <v>6</v>
      </c>
      <c r="F43" s="355" t="s">
        <v>711</v>
      </c>
      <c r="G43" s="307" t="s">
        <v>522</v>
      </c>
      <c r="H43" s="307">
        <v>4.75</v>
      </c>
      <c r="I43" s="307">
        <v>6</v>
      </c>
      <c r="J43" s="307">
        <v>145</v>
      </c>
      <c r="K43" s="307">
        <v>1</v>
      </c>
      <c r="L43" s="346"/>
      <c r="M43" s="346">
        <f t="shared" si="2"/>
        <v>28.5</v>
      </c>
      <c r="N43" s="346">
        <f t="shared" si="3"/>
        <v>688.75</v>
      </c>
      <c r="O43" s="34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  <c r="FC43" s="306"/>
      <c r="FD43" s="306"/>
      <c r="FE43" s="306"/>
      <c r="FF43" s="306"/>
      <c r="FG43" s="306"/>
      <c r="FH43" s="306"/>
      <c r="FI43" s="306"/>
      <c r="FJ43" s="306"/>
      <c r="FK43" s="306"/>
      <c r="FL43" s="306"/>
      <c r="FM43" s="306"/>
      <c r="FN43" s="306"/>
      <c r="FO43" s="306"/>
      <c r="FP43" s="306"/>
      <c r="FQ43" s="306"/>
      <c r="FR43" s="306"/>
      <c r="FS43" s="306"/>
      <c r="FT43" s="306"/>
      <c r="FU43" s="306"/>
      <c r="FV43" s="306"/>
      <c r="FW43" s="306"/>
      <c r="FX43" s="306"/>
      <c r="FY43" s="306"/>
      <c r="FZ43" s="306"/>
      <c r="GA43" s="306"/>
      <c r="GB43" s="306"/>
      <c r="GC43" s="306"/>
      <c r="GD43" s="306"/>
      <c r="GE43" s="306"/>
      <c r="GF43" s="306"/>
      <c r="GG43" s="306"/>
      <c r="GH43" s="306"/>
      <c r="GI43" s="306"/>
      <c r="GJ43" s="306"/>
      <c r="GK43" s="306"/>
      <c r="GL43" s="306"/>
      <c r="GM43" s="306"/>
      <c r="GN43" s="306"/>
      <c r="GO43" s="306"/>
      <c r="GP43" s="306"/>
      <c r="GQ43" s="306"/>
      <c r="GR43" s="306"/>
      <c r="GS43" s="306"/>
      <c r="GT43" s="306"/>
      <c r="GU43" s="306"/>
      <c r="GV43" s="306"/>
      <c r="GW43" s="306"/>
      <c r="GX43" s="306"/>
      <c r="GY43" s="306"/>
      <c r="GZ43" s="306"/>
      <c r="HA43" s="306"/>
      <c r="HB43" s="306"/>
      <c r="HC43" s="306"/>
      <c r="HD43" s="306"/>
      <c r="HE43" s="306"/>
      <c r="HF43" s="306"/>
      <c r="HG43" s="306"/>
      <c r="HH43" s="306"/>
      <c r="HI43" s="306"/>
      <c r="HJ43" s="306"/>
      <c r="HK43" s="306"/>
      <c r="HL43" s="306"/>
      <c r="HM43" s="306"/>
      <c r="HN43" s="306"/>
      <c r="HO43" s="306"/>
      <c r="HP43" s="306"/>
      <c r="HQ43" s="306"/>
      <c r="HR43" s="306"/>
      <c r="HS43" s="306"/>
      <c r="HT43" s="306"/>
      <c r="HU43" s="306"/>
      <c r="HV43" s="306"/>
      <c r="HW43" s="306"/>
      <c r="HX43" s="306"/>
      <c r="HY43" s="306"/>
      <c r="HZ43" s="306"/>
      <c r="IA43" s="306"/>
      <c r="IB43" s="306"/>
      <c r="IC43" s="306"/>
      <c r="ID43" s="306"/>
      <c r="IE43" s="306"/>
    </row>
    <row r="44" spans="1:239" s="127" customFormat="1" ht="34.5" customHeight="1">
      <c r="A44" s="307">
        <v>58</v>
      </c>
      <c r="B44" s="357">
        <v>42870</v>
      </c>
      <c r="C44" s="307" t="s">
        <v>517</v>
      </c>
      <c r="D44" s="307" t="s">
        <v>550</v>
      </c>
      <c r="E44" s="307">
        <v>6</v>
      </c>
      <c r="F44" s="355" t="s">
        <v>711</v>
      </c>
      <c r="G44" s="307" t="s">
        <v>522</v>
      </c>
      <c r="H44" s="307">
        <v>8.1</v>
      </c>
      <c r="I44" s="307">
        <v>3</v>
      </c>
      <c r="J44" s="307">
        <v>46</v>
      </c>
      <c r="K44" s="307">
        <v>1</v>
      </c>
      <c r="L44" s="346"/>
      <c r="M44" s="346">
        <f t="shared" si="2"/>
        <v>24.299999999999997</v>
      </c>
      <c r="N44" s="346">
        <f t="shared" si="3"/>
        <v>372.59999999999997</v>
      </c>
      <c r="O44" s="34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306"/>
      <c r="EO44" s="306"/>
      <c r="EP44" s="306"/>
      <c r="EQ44" s="306"/>
      <c r="ER44" s="306"/>
      <c r="ES44" s="306"/>
      <c r="ET44" s="306"/>
      <c r="EU44" s="306"/>
      <c r="EV44" s="306"/>
      <c r="EW44" s="306"/>
      <c r="EX44" s="306"/>
      <c r="EY44" s="306"/>
      <c r="EZ44" s="306"/>
      <c r="FA44" s="306"/>
      <c r="FB44" s="306"/>
      <c r="FC44" s="306"/>
      <c r="FD44" s="306"/>
      <c r="FE44" s="306"/>
      <c r="FF44" s="306"/>
      <c r="FG44" s="306"/>
      <c r="FH44" s="306"/>
      <c r="FI44" s="306"/>
      <c r="FJ44" s="306"/>
      <c r="FK44" s="306"/>
      <c r="FL44" s="306"/>
      <c r="FM44" s="306"/>
      <c r="FN44" s="306"/>
      <c r="FO44" s="306"/>
      <c r="FP44" s="306"/>
      <c r="FQ44" s="306"/>
      <c r="FR44" s="306"/>
      <c r="FS44" s="306"/>
      <c r="FT44" s="306"/>
      <c r="FU44" s="306"/>
      <c r="FV44" s="306"/>
      <c r="FW44" s="306"/>
      <c r="FX44" s="306"/>
      <c r="FY44" s="306"/>
      <c r="FZ44" s="306"/>
      <c r="GA44" s="306"/>
      <c r="GB44" s="306"/>
      <c r="GC44" s="306"/>
      <c r="GD44" s="306"/>
      <c r="GE44" s="306"/>
      <c r="GF44" s="306"/>
      <c r="GG44" s="306"/>
      <c r="GH44" s="306"/>
      <c r="GI44" s="306"/>
      <c r="GJ44" s="306"/>
      <c r="GK44" s="306"/>
      <c r="GL44" s="306"/>
      <c r="GM44" s="306"/>
      <c r="GN44" s="306"/>
      <c r="GO44" s="306"/>
      <c r="GP44" s="306"/>
      <c r="GQ44" s="306"/>
      <c r="GR44" s="306"/>
      <c r="GS44" s="306"/>
      <c r="GT44" s="306"/>
      <c r="GU44" s="306"/>
      <c r="GV44" s="306"/>
      <c r="GW44" s="306"/>
      <c r="GX44" s="306"/>
      <c r="GY44" s="306"/>
      <c r="GZ44" s="306"/>
      <c r="HA44" s="306"/>
      <c r="HB44" s="306"/>
      <c r="HC44" s="306"/>
      <c r="HD44" s="306"/>
      <c r="HE44" s="306"/>
      <c r="HF44" s="306"/>
      <c r="HG44" s="306"/>
      <c r="HH44" s="306"/>
      <c r="HI44" s="306"/>
      <c r="HJ44" s="306"/>
      <c r="HK44" s="306"/>
      <c r="HL44" s="306"/>
      <c r="HM44" s="306"/>
      <c r="HN44" s="306"/>
      <c r="HO44" s="306"/>
      <c r="HP44" s="306"/>
      <c r="HQ44" s="306"/>
      <c r="HR44" s="306"/>
      <c r="HS44" s="306"/>
      <c r="HT44" s="306"/>
      <c r="HU44" s="306"/>
      <c r="HV44" s="306"/>
      <c r="HW44" s="306"/>
      <c r="HX44" s="306"/>
      <c r="HY44" s="306"/>
      <c r="HZ44" s="306"/>
      <c r="IA44" s="306"/>
      <c r="IB44" s="306"/>
      <c r="IC44" s="306"/>
      <c r="ID44" s="306"/>
      <c r="IE44" s="306"/>
    </row>
    <row r="45" spans="1:239" s="127" customFormat="1" ht="34.5" customHeight="1">
      <c r="A45" s="307">
        <v>59</v>
      </c>
      <c r="B45" s="357">
        <v>42884</v>
      </c>
      <c r="C45" s="307" t="s">
        <v>517</v>
      </c>
      <c r="D45" s="307" t="s">
        <v>551</v>
      </c>
      <c r="E45" s="307">
        <v>6</v>
      </c>
      <c r="F45" s="355" t="s">
        <v>711</v>
      </c>
      <c r="G45" s="307" t="s">
        <v>522</v>
      </c>
      <c r="H45" s="307">
        <v>5.83</v>
      </c>
      <c r="I45" s="307">
        <v>6</v>
      </c>
      <c r="J45" s="307">
        <v>30</v>
      </c>
      <c r="K45" s="307">
        <v>1</v>
      </c>
      <c r="L45" s="346"/>
      <c r="M45" s="346">
        <f t="shared" si="2"/>
        <v>34.980000000000004</v>
      </c>
      <c r="N45" s="346">
        <f t="shared" si="3"/>
        <v>174.9</v>
      </c>
      <c r="O45" s="34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  <c r="EN45" s="306"/>
      <c r="EO45" s="306"/>
      <c r="EP45" s="306"/>
      <c r="EQ45" s="306"/>
      <c r="ER45" s="306"/>
      <c r="ES45" s="306"/>
      <c r="ET45" s="306"/>
      <c r="EU45" s="306"/>
      <c r="EV45" s="306"/>
      <c r="EW45" s="306"/>
      <c r="EX45" s="306"/>
      <c r="EY45" s="306"/>
      <c r="EZ45" s="306"/>
      <c r="FA45" s="306"/>
      <c r="FB45" s="306"/>
      <c r="FC45" s="306"/>
      <c r="FD45" s="306"/>
      <c r="FE45" s="306"/>
      <c r="FF45" s="306"/>
      <c r="FG45" s="306"/>
      <c r="FH45" s="306"/>
      <c r="FI45" s="306"/>
      <c r="FJ45" s="306"/>
      <c r="FK45" s="306"/>
      <c r="FL45" s="306"/>
      <c r="FM45" s="306"/>
      <c r="FN45" s="306"/>
      <c r="FO45" s="306"/>
      <c r="FP45" s="306"/>
      <c r="FQ45" s="306"/>
      <c r="FR45" s="306"/>
      <c r="FS45" s="306"/>
      <c r="FT45" s="306"/>
      <c r="FU45" s="306"/>
      <c r="FV45" s="306"/>
      <c r="FW45" s="306"/>
      <c r="FX45" s="306"/>
      <c r="FY45" s="306"/>
      <c r="FZ45" s="306"/>
      <c r="GA45" s="306"/>
      <c r="GB45" s="306"/>
      <c r="GC45" s="306"/>
      <c r="GD45" s="306"/>
      <c r="GE45" s="306"/>
      <c r="GF45" s="306"/>
      <c r="GG45" s="306"/>
      <c r="GH45" s="306"/>
      <c r="GI45" s="306"/>
      <c r="GJ45" s="306"/>
      <c r="GK45" s="306"/>
      <c r="GL45" s="306"/>
      <c r="GM45" s="306"/>
      <c r="GN45" s="306"/>
      <c r="GO45" s="306"/>
      <c r="GP45" s="306"/>
      <c r="GQ45" s="306"/>
      <c r="GR45" s="306"/>
      <c r="GS45" s="306"/>
      <c r="GT45" s="306"/>
      <c r="GU45" s="306"/>
      <c r="GV45" s="306"/>
      <c r="GW45" s="306"/>
      <c r="GX45" s="306"/>
      <c r="GY45" s="306"/>
      <c r="GZ45" s="306"/>
      <c r="HA45" s="306"/>
      <c r="HB45" s="306"/>
      <c r="HC45" s="306"/>
      <c r="HD45" s="306"/>
      <c r="HE45" s="306"/>
      <c r="HF45" s="306"/>
      <c r="HG45" s="306"/>
      <c r="HH45" s="306"/>
      <c r="HI45" s="306"/>
      <c r="HJ45" s="306"/>
      <c r="HK45" s="306"/>
      <c r="HL45" s="306"/>
      <c r="HM45" s="306"/>
      <c r="HN45" s="306"/>
      <c r="HO45" s="306"/>
      <c r="HP45" s="306"/>
      <c r="HQ45" s="306"/>
      <c r="HR45" s="306"/>
      <c r="HS45" s="306"/>
      <c r="HT45" s="306"/>
      <c r="HU45" s="306"/>
      <c r="HV45" s="306"/>
      <c r="HW45" s="306"/>
      <c r="HX45" s="306"/>
      <c r="HY45" s="306"/>
      <c r="HZ45" s="306"/>
      <c r="IA45" s="306"/>
      <c r="IB45" s="306"/>
      <c r="IC45" s="306"/>
      <c r="ID45" s="306"/>
      <c r="IE45" s="306"/>
    </row>
    <row r="46" spans="1:239" s="127" customFormat="1" ht="34.5" customHeight="1">
      <c r="A46" s="305">
        <v>4</v>
      </c>
      <c r="B46" s="356">
        <v>42888</v>
      </c>
      <c r="C46" s="305" t="s">
        <v>514</v>
      </c>
      <c r="D46" s="305" t="s">
        <v>552</v>
      </c>
      <c r="E46" s="305">
        <v>10</v>
      </c>
      <c r="F46" s="350" t="s">
        <v>711</v>
      </c>
      <c r="G46" s="305" t="s">
        <v>516</v>
      </c>
      <c r="H46" s="305">
        <v>0.75</v>
      </c>
      <c r="I46" s="305">
        <v>123</v>
      </c>
      <c r="J46" s="305">
        <v>1266</v>
      </c>
      <c r="K46" s="305">
        <v>1</v>
      </c>
      <c r="L46" s="347"/>
      <c r="M46" s="346">
        <f t="shared" si="2"/>
        <v>92.25</v>
      </c>
      <c r="N46" s="346">
        <f t="shared" si="3"/>
        <v>949.5</v>
      </c>
      <c r="O46" s="34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6"/>
      <c r="EL46" s="306"/>
      <c r="EM46" s="306"/>
      <c r="EN46" s="306"/>
      <c r="EO46" s="306"/>
      <c r="EP46" s="306"/>
      <c r="EQ46" s="306"/>
      <c r="ER46" s="306"/>
      <c r="ES46" s="306"/>
      <c r="ET46" s="306"/>
      <c r="EU46" s="306"/>
      <c r="EV46" s="306"/>
      <c r="EW46" s="306"/>
      <c r="EX46" s="306"/>
      <c r="EY46" s="306"/>
      <c r="EZ46" s="306"/>
      <c r="FA46" s="306"/>
      <c r="FB46" s="306"/>
      <c r="FC46" s="306"/>
      <c r="FD46" s="306"/>
      <c r="FE46" s="306"/>
      <c r="FF46" s="306"/>
      <c r="FG46" s="306"/>
      <c r="FH46" s="306"/>
      <c r="FI46" s="306"/>
      <c r="FJ46" s="306"/>
      <c r="FK46" s="306"/>
      <c r="FL46" s="306"/>
      <c r="FM46" s="306"/>
      <c r="FN46" s="306"/>
      <c r="FO46" s="306"/>
      <c r="FP46" s="306"/>
      <c r="FQ46" s="306"/>
      <c r="FR46" s="306"/>
      <c r="FS46" s="306"/>
      <c r="FT46" s="306"/>
      <c r="FU46" s="306"/>
      <c r="FV46" s="306"/>
      <c r="FW46" s="306"/>
      <c r="FX46" s="306"/>
      <c r="FY46" s="306"/>
      <c r="FZ46" s="306"/>
      <c r="GA46" s="306"/>
      <c r="GB46" s="306"/>
      <c r="GC46" s="306"/>
      <c r="GD46" s="306"/>
      <c r="GE46" s="306"/>
      <c r="GF46" s="306"/>
      <c r="GG46" s="306"/>
      <c r="GH46" s="306"/>
      <c r="GI46" s="306"/>
      <c r="GJ46" s="306"/>
      <c r="GK46" s="306"/>
      <c r="GL46" s="306"/>
      <c r="GM46" s="306"/>
      <c r="GN46" s="306"/>
      <c r="GO46" s="306"/>
      <c r="GP46" s="306"/>
      <c r="GQ46" s="306"/>
      <c r="GR46" s="306"/>
      <c r="GS46" s="306"/>
      <c r="GT46" s="306"/>
      <c r="GU46" s="306"/>
      <c r="GV46" s="306"/>
      <c r="GW46" s="306"/>
      <c r="GX46" s="306"/>
      <c r="GY46" s="306"/>
      <c r="GZ46" s="306"/>
      <c r="HA46" s="306"/>
      <c r="HB46" s="306"/>
      <c r="HC46" s="306"/>
      <c r="HD46" s="306"/>
      <c r="HE46" s="306"/>
      <c r="HF46" s="306"/>
      <c r="HG46" s="306"/>
      <c r="HH46" s="306"/>
      <c r="HI46" s="306"/>
      <c r="HJ46" s="306"/>
      <c r="HK46" s="306"/>
      <c r="HL46" s="306"/>
      <c r="HM46" s="306"/>
      <c r="HN46" s="306"/>
      <c r="HO46" s="306"/>
      <c r="HP46" s="306"/>
      <c r="HQ46" s="306"/>
      <c r="HR46" s="306"/>
      <c r="HS46" s="306"/>
      <c r="HT46" s="306"/>
      <c r="HU46" s="306"/>
      <c r="HV46" s="306"/>
      <c r="HW46" s="306"/>
      <c r="HX46" s="306"/>
      <c r="HY46" s="306"/>
      <c r="HZ46" s="306"/>
      <c r="IA46" s="306"/>
      <c r="IB46" s="306"/>
      <c r="IC46" s="306"/>
      <c r="ID46" s="306"/>
      <c r="IE46" s="306"/>
    </row>
    <row r="47" spans="1:239" s="127" customFormat="1" ht="34.5" customHeight="1">
      <c r="A47" s="305">
        <v>5</v>
      </c>
      <c r="B47" s="356">
        <v>42892</v>
      </c>
      <c r="C47" s="305" t="s">
        <v>514</v>
      </c>
      <c r="D47" s="305" t="s">
        <v>553</v>
      </c>
      <c r="E47" s="305">
        <v>6</v>
      </c>
      <c r="F47" s="350" t="s">
        <v>711</v>
      </c>
      <c r="G47" s="305" t="s">
        <v>516</v>
      </c>
      <c r="H47" s="305">
        <v>3.88</v>
      </c>
      <c r="I47" s="305">
        <v>8</v>
      </c>
      <c r="J47" s="305">
        <v>696</v>
      </c>
      <c r="K47" s="305">
        <v>1</v>
      </c>
      <c r="L47" s="347"/>
      <c r="M47" s="346">
        <f t="shared" si="2"/>
        <v>31.04</v>
      </c>
      <c r="N47" s="346">
        <f t="shared" si="3"/>
        <v>2700.48</v>
      </c>
      <c r="O47" s="34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306"/>
      <c r="FK47" s="306"/>
      <c r="FL47" s="306"/>
      <c r="FM47" s="306"/>
      <c r="FN47" s="306"/>
      <c r="FO47" s="306"/>
      <c r="FP47" s="306"/>
      <c r="FQ47" s="306"/>
      <c r="FR47" s="306"/>
      <c r="FS47" s="306"/>
      <c r="FT47" s="306"/>
      <c r="FU47" s="306"/>
      <c r="FV47" s="306"/>
      <c r="FW47" s="306"/>
      <c r="FX47" s="306"/>
      <c r="FY47" s="306"/>
      <c r="FZ47" s="306"/>
      <c r="GA47" s="306"/>
      <c r="GB47" s="306"/>
      <c r="GC47" s="306"/>
      <c r="GD47" s="306"/>
      <c r="GE47" s="306"/>
      <c r="GF47" s="306"/>
      <c r="GG47" s="306"/>
      <c r="GH47" s="306"/>
      <c r="GI47" s="306"/>
      <c r="GJ47" s="306"/>
      <c r="GK47" s="306"/>
      <c r="GL47" s="306"/>
      <c r="GM47" s="306"/>
      <c r="GN47" s="306"/>
      <c r="GO47" s="306"/>
      <c r="GP47" s="306"/>
      <c r="GQ47" s="306"/>
      <c r="GR47" s="306"/>
      <c r="GS47" s="306"/>
      <c r="GT47" s="306"/>
      <c r="GU47" s="306"/>
      <c r="GV47" s="306"/>
      <c r="GW47" s="306"/>
      <c r="GX47" s="306"/>
      <c r="GY47" s="306"/>
      <c r="GZ47" s="306"/>
      <c r="HA47" s="306"/>
      <c r="HB47" s="306"/>
      <c r="HC47" s="306"/>
      <c r="HD47" s="306"/>
      <c r="HE47" s="306"/>
      <c r="HF47" s="306"/>
      <c r="HG47" s="306"/>
      <c r="HH47" s="306"/>
      <c r="HI47" s="306"/>
      <c r="HJ47" s="306"/>
      <c r="HK47" s="306"/>
      <c r="HL47" s="306"/>
      <c r="HM47" s="306"/>
      <c r="HN47" s="306"/>
      <c r="HO47" s="306"/>
      <c r="HP47" s="306"/>
      <c r="HQ47" s="306"/>
      <c r="HR47" s="306"/>
      <c r="HS47" s="306"/>
      <c r="HT47" s="306"/>
      <c r="HU47" s="306"/>
      <c r="HV47" s="306"/>
      <c r="HW47" s="306"/>
      <c r="HX47" s="306"/>
      <c r="HY47" s="306"/>
      <c r="HZ47" s="306"/>
      <c r="IA47" s="306"/>
      <c r="IB47" s="306"/>
      <c r="IC47" s="306"/>
      <c r="ID47" s="306"/>
      <c r="IE47" s="306"/>
    </row>
    <row r="48" spans="1:239" s="127" customFormat="1" ht="34.5" customHeight="1">
      <c r="A48" s="305">
        <v>6</v>
      </c>
      <c r="B48" s="356">
        <v>42908</v>
      </c>
      <c r="C48" s="305" t="s">
        <v>514</v>
      </c>
      <c r="D48" s="305" t="s">
        <v>554</v>
      </c>
      <c r="E48" s="305">
        <v>6</v>
      </c>
      <c r="F48" s="350" t="s">
        <v>711</v>
      </c>
      <c r="G48" s="305" t="s">
        <v>516</v>
      </c>
      <c r="H48" s="305">
        <v>0.75</v>
      </c>
      <c r="I48" s="305">
        <v>2</v>
      </c>
      <c r="J48" s="305">
        <v>261</v>
      </c>
      <c r="K48" s="305">
        <v>1</v>
      </c>
      <c r="L48" s="347"/>
      <c r="M48" s="346">
        <f t="shared" si="2"/>
        <v>1.5</v>
      </c>
      <c r="N48" s="346">
        <f t="shared" si="3"/>
        <v>195.75</v>
      </c>
      <c r="O48" s="34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  <c r="EN48" s="306"/>
      <c r="EO48" s="306"/>
      <c r="EP48" s="306"/>
      <c r="EQ48" s="306"/>
      <c r="ER48" s="306"/>
      <c r="ES48" s="306"/>
      <c r="ET48" s="306"/>
      <c r="EU48" s="306"/>
      <c r="EV48" s="306"/>
      <c r="EW48" s="306"/>
      <c r="EX48" s="306"/>
      <c r="EY48" s="306"/>
      <c r="EZ48" s="306"/>
      <c r="FA48" s="306"/>
      <c r="FB48" s="306"/>
      <c r="FC48" s="306"/>
      <c r="FD48" s="306"/>
      <c r="FE48" s="306"/>
      <c r="FF48" s="306"/>
      <c r="FG48" s="306"/>
      <c r="FH48" s="306"/>
      <c r="FI48" s="306"/>
      <c r="FJ48" s="306"/>
      <c r="FK48" s="306"/>
      <c r="FL48" s="306"/>
      <c r="FM48" s="306"/>
      <c r="FN48" s="306"/>
      <c r="FO48" s="306"/>
      <c r="FP48" s="306"/>
      <c r="FQ48" s="306"/>
      <c r="FR48" s="306"/>
      <c r="FS48" s="306"/>
      <c r="FT48" s="306"/>
      <c r="FU48" s="306"/>
      <c r="FV48" s="306"/>
      <c r="FW48" s="306"/>
      <c r="FX48" s="306"/>
      <c r="FY48" s="306"/>
      <c r="FZ48" s="306"/>
      <c r="GA48" s="306"/>
      <c r="GB48" s="306"/>
      <c r="GC48" s="306"/>
      <c r="GD48" s="306"/>
      <c r="GE48" s="306"/>
      <c r="GF48" s="306"/>
      <c r="GG48" s="306"/>
      <c r="GH48" s="306"/>
      <c r="GI48" s="306"/>
      <c r="GJ48" s="306"/>
      <c r="GK48" s="306"/>
      <c r="GL48" s="306"/>
      <c r="GM48" s="306"/>
      <c r="GN48" s="306"/>
      <c r="GO48" s="306"/>
      <c r="GP48" s="306"/>
      <c r="GQ48" s="306"/>
      <c r="GR48" s="306"/>
      <c r="GS48" s="306"/>
      <c r="GT48" s="306"/>
      <c r="GU48" s="306"/>
      <c r="GV48" s="306"/>
      <c r="GW48" s="306"/>
      <c r="GX48" s="306"/>
      <c r="GY48" s="306"/>
      <c r="GZ48" s="306"/>
      <c r="HA48" s="306"/>
      <c r="HB48" s="306"/>
      <c r="HC48" s="306"/>
      <c r="HD48" s="306"/>
      <c r="HE48" s="306"/>
      <c r="HF48" s="306"/>
      <c r="HG48" s="306"/>
      <c r="HH48" s="306"/>
      <c r="HI48" s="306"/>
      <c r="HJ48" s="306"/>
      <c r="HK48" s="306"/>
      <c r="HL48" s="306"/>
      <c r="HM48" s="306"/>
      <c r="HN48" s="306"/>
      <c r="HO48" s="306"/>
      <c r="HP48" s="306"/>
      <c r="HQ48" s="306"/>
      <c r="HR48" s="306"/>
      <c r="HS48" s="306"/>
      <c r="HT48" s="306"/>
      <c r="HU48" s="306"/>
      <c r="HV48" s="306"/>
      <c r="HW48" s="306"/>
      <c r="HX48" s="306"/>
      <c r="HY48" s="306"/>
      <c r="HZ48" s="306"/>
      <c r="IA48" s="306"/>
      <c r="IB48" s="306"/>
      <c r="IC48" s="306"/>
      <c r="ID48" s="306"/>
      <c r="IE48" s="306"/>
    </row>
    <row r="49" spans="1:239" s="127" customFormat="1" ht="34.5" customHeight="1">
      <c r="A49" s="307">
        <v>9</v>
      </c>
      <c r="B49" s="357">
        <v>42908</v>
      </c>
      <c r="C49" s="307" t="s">
        <v>517</v>
      </c>
      <c r="D49" s="307" t="s">
        <v>555</v>
      </c>
      <c r="E49" s="307">
        <v>0.4</v>
      </c>
      <c r="F49" s="355" t="s">
        <v>711</v>
      </c>
      <c r="G49" s="307" t="s">
        <v>516</v>
      </c>
      <c r="H49" s="307">
        <v>0.33</v>
      </c>
      <c r="I49" s="307">
        <v>2</v>
      </c>
      <c r="J49" s="307">
        <v>14.12</v>
      </c>
      <c r="K49" s="307">
        <v>1</v>
      </c>
      <c r="L49" s="347"/>
      <c r="M49" s="346">
        <f t="shared" si="2"/>
        <v>0.66</v>
      </c>
      <c r="N49" s="346">
        <f t="shared" si="3"/>
        <v>4.6596</v>
      </c>
      <c r="O49" s="34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6"/>
      <c r="EL49" s="306"/>
      <c r="EM49" s="306"/>
      <c r="EN49" s="306"/>
      <c r="EO49" s="306"/>
      <c r="EP49" s="306"/>
      <c r="EQ49" s="306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6"/>
      <c r="FF49" s="306"/>
      <c r="FG49" s="306"/>
      <c r="FH49" s="306"/>
      <c r="FI49" s="306"/>
      <c r="FJ49" s="306"/>
      <c r="FK49" s="306"/>
      <c r="FL49" s="306"/>
      <c r="FM49" s="306"/>
      <c r="FN49" s="306"/>
      <c r="FO49" s="306"/>
      <c r="FP49" s="306"/>
      <c r="FQ49" s="306"/>
      <c r="FR49" s="306"/>
      <c r="FS49" s="306"/>
      <c r="FT49" s="306"/>
      <c r="FU49" s="306"/>
      <c r="FV49" s="306"/>
      <c r="FW49" s="306"/>
      <c r="FX49" s="306"/>
      <c r="FY49" s="306"/>
      <c r="FZ49" s="306"/>
      <c r="GA49" s="306"/>
      <c r="GB49" s="306"/>
      <c r="GC49" s="306"/>
      <c r="GD49" s="306"/>
      <c r="GE49" s="306"/>
      <c r="GF49" s="306"/>
      <c r="GG49" s="306"/>
      <c r="GH49" s="306"/>
      <c r="GI49" s="306"/>
      <c r="GJ49" s="306"/>
      <c r="GK49" s="306"/>
      <c r="GL49" s="306"/>
      <c r="GM49" s="306"/>
      <c r="GN49" s="306"/>
      <c r="GO49" s="306"/>
      <c r="GP49" s="306"/>
      <c r="GQ49" s="306"/>
      <c r="GR49" s="306"/>
      <c r="GS49" s="306"/>
      <c r="GT49" s="306"/>
      <c r="GU49" s="306"/>
      <c r="GV49" s="306"/>
      <c r="GW49" s="306"/>
      <c r="GX49" s="306"/>
      <c r="GY49" s="306"/>
      <c r="GZ49" s="306"/>
      <c r="HA49" s="306"/>
      <c r="HB49" s="306"/>
      <c r="HC49" s="306"/>
      <c r="HD49" s="306"/>
      <c r="HE49" s="306"/>
      <c r="HF49" s="306"/>
      <c r="HG49" s="306"/>
      <c r="HH49" s="306"/>
      <c r="HI49" s="306"/>
      <c r="HJ49" s="306"/>
      <c r="HK49" s="306"/>
      <c r="HL49" s="306"/>
      <c r="HM49" s="306"/>
      <c r="HN49" s="306"/>
      <c r="HO49" s="306"/>
      <c r="HP49" s="306"/>
      <c r="HQ49" s="306"/>
      <c r="HR49" s="306"/>
      <c r="HS49" s="306"/>
      <c r="HT49" s="306"/>
      <c r="HU49" s="306"/>
      <c r="HV49" s="306"/>
      <c r="HW49" s="306"/>
      <c r="HX49" s="306"/>
      <c r="HY49" s="306"/>
      <c r="HZ49" s="306"/>
      <c r="IA49" s="306"/>
      <c r="IB49" s="306"/>
      <c r="IC49" s="306"/>
      <c r="ID49" s="306"/>
      <c r="IE49" s="306"/>
    </row>
    <row r="50" spans="1:239" s="127" customFormat="1" ht="34.5" customHeight="1">
      <c r="A50" s="305">
        <v>22</v>
      </c>
      <c r="B50" s="356">
        <v>42887</v>
      </c>
      <c r="C50" s="305" t="s">
        <v>514</v>
      </c>
      <c r="D50" s="305" t="s">
        <v>556</v>
      </c>
      <c r="E50" s="305">
        <v>6</v>
      </c>
      <c r="F50" s="350" t="s">
        <v>711</v>
      </c>
      <c r="G50" s="305" t="s">
        <v>522</v>
      </c>
      <c r="H50" s="305">
        <v>6.58</v>
      </c>
      <c r="I50" s="305">
        <v>14</v>
      </c>
      <c r="J50" s="305">
        <v>184.3</v>
      </c>
      <c r="K50" s="305">
        <v>1</v>
      </c>
      <c r="L50" s="347"/>
      <c r="M50" s="346">
        <f t="shared" si="2"/>
        <v>92.12</v>
      </c>
      <c r="N50" s="346">
        <f t="shared" si="3"/>
        <v>1212.6940000000002</v>
      </c>
      <c r="O50" s="34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6"/>
      <c r="EL50" s="306"/>
      <c r="EM50" s="306"/>
      <c r="EN50" s="306"/>
      <c r="EO50" s="306"/>
      <c r="EP50" s="306"/>
      <c r="EQ50" s="306"/>
      <c r="ER50" s="306"/>
      <c r="ES50" s="306"/>
      <c r="ET50" s="306"/>
      <c r="EU50" s="306"/>
      <c r="EV50" s="306"/>
      <c r="EW50" s="306"/>
      <c r="EX50" s="306"/>
      <c r="EY50" s="306"/>
      <c r="EZ50" s="306"/>
      <c r="FA50" s="306"/>
      <c r="FB50" s="306"/>
      <c r="FC50" s="306"/>
      <c r="FD50" s="306"/>
      <c r="FE50" s="306"/>
      <c r="FF50" s="306"/>
      <c r="FG50" s="306"/>
      <c r="FH50" s="306"/>
      <c r="FI50" s="306"/>
      <c r="FJ50" s="306"/>
      <c r="FK50" s="306"/>
      <c r="FL50" s="306"/>
      <c r="FM50" s="306"/>
      <c r="FN50" s="306"/>
      <c r="FO50" s="306"/>
      <c r="FP50" s="306"/>
      <c r="FQ50" s="306"/>
      <c r="FR50" s="306"/>
      <c r="FS50" s="306"/>
      <c r="FT50" s="306"/>
      <c r="FU50" s="306"/>
      <c r="FV50" s="306"/>
      <c r="FW50" s="306"/>
      <c r="FX50" s="306"/>
      <c r="FY50" s="306"/>
      <c r="FZ50" s="306"/>
      <c r="GA50" s="306"/>
      <c r="GB50" s="306"/>
      <c r="GC50" s="306"/>
      <c r="GD50" s="306"/>
      <c r="GE50" s="306"/>
      <c r="GF50" s="306"/>
      <c r="GG50" s="306"/>
      <c r="GH50" s="306"/>
      <c r="GI50" s="306"/>
      <c r="GJ50" s="306"/>
      <c r="GK50" s="306"/>
      <c r="GL50" s="306"/>
      <c r="GM50" s="306"/>
      <c r="GN50" s="306"/>
      <c r="GO50" s="306"/>
      <c r="GP50" s="306"/>
      <c r="GQ50" s="306"/>
      <c r="GR50" s="306"/>
      <c r="GS50" s="306"/>
      <c r="GT50" s="306"/>
      <c r="GU50" s="306"/>
      <c r="GV50" s="306"/>
      <c r="GW50" s="306"/>
      <c r="GX50" s="306"/>
      <c r="GY50" s="306"/>
      <c r="GZ50" s="306"/>
      <c r="HA50" s="306"/>
      <c r="HB50" s="306"/>
      <c r="HC50" s="306"/>
      <c r="HD50" s="306"/>
      <c r="HE50" s="306"/>
      <c r="HF50" s="306"/>
      <c r="HG50" s="306"/>
      <c r="HH50" s="306"/>
      <c r="HI50" s="306"/>
      <c r="HJ50" s="306"/>
      <c r="HK50" s="306"/>
      <c r="HL50" s="306"/>
      <c r="HM50" s="306"/>
      <c r="HN50" s="306"/>
      <c r="HO50" s="306"/>
      <c r="HP50" s="306"/>
      <c r="HQ50" s="306"/>
      <c r="HR50" s="306"/>
      <c r="HS50" s="306"/>
      <c r="HT50" s="306"/>
      <c r="HU50" s="306"/>
      <c r="HV50" s="306"/>
      <c r="HW50" s="306"/>
      <c r="HX50" s="306"/>
      <c r="HY50" s="306"/>
      <c r="HZ50" s="306"/>
      <c r="IA50" s="306"/>
      <c r="IB50" s="306"/>
      <c r="IC50" s="306"/>
      <c r="ID50" s="306"/>
      <c r="IE50" s="306"/>
    </row>
    <row r="51" spans="1:239" s="127" customFormat="1" ht="34.5" customHeight="1">
      <c r="A51" s="305">
        <v>23</v>
      </c>
      <c r="B51" s="356">
        <v>42888</v>
      </c>
      <c r="C51" s="305" t="s">
        <v>514</v>
      </c>
      <c r="D51" s="305" t="s">
        <v>557</v>
      </c>
      <c r="E51" s="305">
        <v>0.4</v>
      </c>
      <c r="F51" s="350" t="s">
        <v>711</v>
      </c>
      <c r="G51" s="305" t="s">
        <v>522</v>
      </c>
      <c r="H51" s="305">
        <v>1.75</v>
      </c>
      <c r="I51" s="305">
        <v>5</v>
      </c>
      <c r="J51" s="305">
        <v>297.5</v>
      </c>
      <c r="K51" s="305">
        <v>1</v>
      </c>
      <c r="L51" s="347"/>
      <c r="M51" s="346">
        <f t="shared" si="2"/>
        <v>8.75</v>
      </c>
      <c r="N51" s="346">
        <f t="shared" si="3"/>
        <v>520.625</v>
      </c>
      <c r="O51" s="34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6"/>
      <c r="EL51" s="306"/>
      <c r="EM51" s="306"/>
      <c r="EN51" s="306"/>
      <c r="EO51" s="306"/>
      <c r="EP51" s="306"/>
      <c r="EQ51" s="306"/>
      <c r="ER51" s="306"/>
      <c r="ES51" s="306"/>
      <c r="ET51" s="306"/>
      <c r="EU51" s="306"/>
      <c r="EV51" s="306"/>
      <c r="EW51" s="306"/>
      <c r="EX51" s="306"/>
      <c r="EY51" s="306"/>
      <c r="EZ51" s="306"/>
      <c r="FA51" s="306"/>
      <c r="FB51" s="306"/>
      <c r="FC51" s="306"/>
      <c r="FD51" s="306"/>
      <c r="FE51" s="306"/>
      <c r="FF51" s="306"/>
      <c r="FG51" s="306"/>
      <c r="FH51" s="306"/>
      <c r="FI51" s="306"/>
      <c r="FJ51" s="306"/>
      <c r="FK51" s="306"/>
      <c r="FL51" s="306"/>
      <c r="FM51" s="306"/>
      <c r="FN51" s="306"/>
      <c r="FO51" s="306"/>
      <c r="FP51" s="306"/>
      <c r="FQ51" s="306"/>
      <c r="FR51" s="306"/>
      <c r="FS51" s="306"/>
      <c r="FT51" s="306"/>
      <c r="FU51" s="306"/>
      <c r="FV51" s="306"/>
      <c r="FW51" s="306"/>
      <c r="FX51" s="306"/>
      <c r="FY51" s="306"/>
      <c r="FZ51" s="306"/>
      <c r="GA51" s="306"/>
      <c r="GB51" s="306"/>
      <c r="GC51" s="306"/>
      <c r="GD51" s="306"/>
      <c r="GE51" s="306"/>
      <c r="GF51" s="306"/>
      <c r="GG51" s="306"/>
      <c r="GH51" s="306"/>
      <c r="GI51" s="306"/>
      <c r="GJ51" s="306"/>
      <c r="GK51" s="306"/>
      <c r="GL51" s="306"/>
      <c r="GM51" s="306"/>
      <c r="GN51" s="306"/>
      <c r="GO51" s="306"/>
      <c r="GP51" s="306"/>
      <c r="GQ51" s="306"/>
      <c r="GR51" s="306"/>
      <c r="GS51" s="306"/>
      <c r="GT51" s="306"/>
      <c r="GU51" s="306"/>
      <c r="GV51" s="306"/>
      <c r="GW51" s="306"/>
      <c r="GX51" s="306"/>
      <c r="GY51" s="306"/>
      <c r="GZ51" s="306"/>
      <c r="HA51" s="306"/>
      <c r="HB51" s="306"/>
      <c r="HC51" s="306"/>
      <c r="HD51" s="306"/>
      <c r="HE51" s="306"/>
      <c r="HF51" s="306"/>
      <c r="HG51" s="306"/>
      <c r="HH51" s="306"/>
      <c r="HI51" s="306"/>
      <c r="HJ51" s="306"/>
      <c r="HK51" s="306"/>
      <c r="HL51" s="306"/>
      <c r="HM51" s="306"/>
      <c r="HN51" s="306"/>
      <c r="HO51" s="306"/>
      <c r="HP51" s="306"/>
      <c r="HQ51" s="306"/>
      <c r="HR51" s="306"/>
      <c r="HS51" s="306"/>
      <c r="HT51" s="306"/>
      <c r="HU51" s="306"/>
      <c r="HV51" s="306"/>
      <c r="HW51" s="306"/>
      <c r="HX51" s="306"/>
      <c r="HY51" s="306"/>
      <c r="HZ51" s="306"/>
      <c r="IA51" s="306"/>
      <c r="IB51" s="306"/>
      <c r="IC51" s="306"/>
      <c r="ID51" s="306"/>
      <c r="IE51" s="306"/>
    </row>
    <row r="52" spans="1:239" s="127" customFormat="1" ht="34.5" customHeight="1">
      <c r="A52" s="305">
        <v>24</v>
      </c>
      <c r="B52" s="356">
        <v>42893</v>
      </c>
      <c r="C52" s="305" t="s">
        <v>514</v>
      </c>
      <c r="D52" s="305" t="s">
        <v>415</v>
      </c>
      <c r="E52" s="305">
        <v>6</v>
      </c>
      <c r="F52" s="350" t="s">
        <v>711</v>
      </c>
      <c r="G52" s="305" t="s">
        <v>522</v>
      </c>
      <c r="H52" s="305">
        <v>53</v>
      </c>
      <c r="I52" s="305">
        <v>9</v>
      </c>
      <c r="J52" s="305">
        <v>795.88</v>
      </c>
      <c r="K52" s="305">
        <v>1</v>
      </c>
      <c r="L52" s="347"/>
      <c r="M52" s="346">
        <f t="shared" si="2"/>
        <v>477</v>
      </c>
      <c r="N52" s="346">
        <f t="shared" si="3"/>
        <v>42181.64</v>
      </c>
      <c r="O52" s="34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306"/>
      <c r="FK52" s="306"/>
      <c r="FL52" s="306"/>
      <c r="FM52" s="306"/>
      <c r="FN52" s="306"/>
      <c r="FO52" s="306"/>
      <c r="FP52" s="306"/>
      <c r="FQ52" s="306"/>
      <c r="FR52" s="306"/>
      <c r="FS52" s="306"/>
      <c r="FT52" s="306"/>
      <c r="FU52" s="306"/>
      <c r="FV52" s="306"/>
      <c r="FW52" s="306"/>
      <c r="FX52" s="306"/>
      <c r="FY52" s="306"/>
      <c r="FZ52" s="306"/>
      <c r="GA52" s="306"/>
      <c r="GB52" s="306"/>
      <c r="GC52" s="306"/>
      <c r="GD52" s="306"/>
      <c r="GE52" s="306"/>
      <c r="GF52" s="306"/>
      <c r="GG52" s="306"/>
      <c r="GH52" s="306"/>
      <c r="GI52" s="306"/>
      <c r="GJ52" s="306"/>
      <c r="GK52" s="306"/>
      <c r="GL52" s="306"/>
      <c r="GM52" s="306"/>
      <c r="GN52" s="306"/>
      <c r="GO52" s="306"/>
      <c r="GP52" s="306"/>
      <c r="GQ52" s="306"/>
      <c r="GR52" s="306"/>
      <c r="GS52" s="306"/>
      <c r="GT52" s="306"/>
      <c r="GU52" s="306"/>
      <c r="GV52" s="306"/>
      <c r="GW52" s="306"/>
      <c r="GX52" s="306"/>
      <c r="GY52" s="306"/>
      <c r="GZ52" s="306"/>
      <c r="HA52" s="306"/>
      <c r="HB52" s="306"/>
      <c r="HC52" s="306"/>
      <c r="HD52" s="306"/>
      <c r="HE52" s="306"/>
      <c r="HF52" s="306"/>
      <c r="HG52" s="306"/>
      <c r="HH52" s="306"/>
      <c r="HI52" s="306"/>
      <c r="HJ52" s="306"/>
      <c r="HK52" s="306"/>
      <c r="HL52" s="306"/>
      <c r="HM52" s="306"/>
      <c r="HN52" s="306"/>
      <c r="HO52" s="306"/>
      <c r="HP52" s="306"/>
      <c r="HQ52" s="306"/>
      <c r="HR52" s="306"/>
      <c r="HS52" s="306"/>
      <c r="HT52" s="306"/>
      <c r="HU52" s="306"/>
      <c r="HV52" s="306"/>
      <c r="HW52" s="306"/>
      <c r="HX52" s="306"/>
      <c r="HY52" s="306"/>
      <c r="HZ52" s="306"/>
      <c r="IA52" s="306"/>
      <c r="IB52" s="306"/>
      <c r="IC52" s="306"/>
      <c r="ID52" s="306"/>
      <c r="IE52" s="306"/>
    </row>
    <row r="53" spans="1:239" s="127" customFormat="1" ht="34.5" customHeight="1">
      <c r="A53" s="305">
        <v>25</v>
      </c>
      <c r="B53" s="356">
        <v>42899</v>
      </c>
      <c r="C53" s="305" t="s">
        <v>514</v>
      </c>
      <c r="D53" s="305" t="s">
        <v>558</v>
      </c>
      <c r="E53" s="305">
        <v>0.4</v>
      </c>
      <c r="F53" s="350" t="s">
        <v>711</v>
      </c>
      <c r="G53" s="305" t="s">
        <v>522</v>
      </c>
      <c r="H53" s="305">
        <v>61.33</v>
      </c>
      <c r="I53" s="305">
        <v>30</v>
      </c>
      <c r="J53" s="305">
        <v>100</v>
      </c>
      <c r="K53" s="305">
        <v>1</v>
      </c>
      <c r="L53" s="347"/>
      <c r="M53" s="346">
        <f t="shared" si="2"/>
        <v>1839.8999999999999</v>
      </c>
      <c r="N53" s="346">
        <f t="shared" si="3"/>
        <v>6133</v>
      </c>
      <c r="O53" s="34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6"/>
      <c r="EL53" s="306"/>
      <c r="EM53" s="306"/>
      <c r="EN53" s="306"/>
      <c r="EO53" s="306"/>
      <c r="EP53" s="306"/>
      <c r="EQ53" s="306"/>
      <c r="ER53" s="306"/>
      <c r="ES53" s="306"/>
      <c r="ET53" s="306"/>
      <c r="EU53" s="306"/>
      <c r="EV53" s="306"/>
      <c r="EW53" s="306"/>
      <c r="EX53" s="306"/>
      <c r="EY53" s="306"/>
      <c r="EZ53" s="306"/>
      <c r="FA53" s="306"/>
      <c r="FB53" s="306"/>
      <c r="FC53" s="306"/>
      <c r="FD53" s="306"/>
      <c r="FE53" s="306"/>
      <c r="FF53" s="306"/>
      <c r="FG53" s="306"/>
      <c r="FH53" s="306"/>
      <c r="FI53" s="306"/>
      <c r="FJ53" s="306"/>
      <c r="FK53" s="306"/>
      <c r="FL53" s="306"/>
      <c r="FM53" s="306"/>
      <c r="FN53" s="306"/>
      <c r="FO53" s="306"/>
      <c r="FP53" s="306"/>
      <c r="FQ53" s="306"/>
      <c r="FR53" s="306"/>
      <c r="FS53" s="306"/>
      <c r="FT53" s="306"/>
      <c r="FU53" s="306"/>
      <c r="FV53" s="306"/>
      <c r="FW53" s="306"/>
      <c r="FX53" s="306"/>
      <c r="FY53" s="306"/>
      <c r="FZ53" s="306"/>
      <c r="GA53" s="306"/>
      <c r="GB53" s="306"/>
      <c r="GC53" s="306"/>
      <c r="GD53" s="306"/>
      <c r="GE53" s="306"/>
      <c r="GF53" s="306"/>
      <c r="GG53" s="306"/>
      <c r="GH53" s="306"/>
      <c r="GI53" s="306"/>
      <c r="GJ53" s="306"/>
      <c r="GK53" s="306"/>
      <c r="GL53" s="306"/>
      <c r="GM53" s="306"/>
      <c r="GN53" s="306"/>
      <c r="GO53" s="306"/>
      <c r="GP53" s="306"/>
      <c r="GQ53" s="306"/>
      <c r="GR53" s="306"/>
      <c r="GS53" s="306"/>
      <c r="GT53" s="306"/>
      <c r="GU53" s="306"/>
      <c r="GV53" s="306"/>
      <c r="GW53" s="306"/>
      <c r="GX53" s="306"/>
      <c r="GY53" s="306"/>
      <c r="GZ53" s="306"/>
      <c r="HA53" s="306"/>
      <c r="HB53" s="306"/>
      <c r="HC53" s="306"/>
      <c r="HD53" s="306"/>
      <c r="HE53" s="306"/>
      <c r="HF53" s="306"/>
      <c r="HG53" s="306"/>
      <c r="HH53" s="306"/>
      <c r="HI53" s="306"/>
      <c r="HJ53" s="306"/>
      <c r="HK53" s="306"/>
      <c r="HL53" s="306"/>
      <c r="HM53" s="306"/>
      <c r="HN53" s="306"/>
      <c r="HO53" s="306"/>
      <c r="HP53" s="306"/>
      <c r="HQ53" s="306"/>
      <c r="HR53" s="306"/>
      <c r="HS53" s="306"/>
      <c r="HT53" s="306"/>
      <c r="HU53" s="306"/>
      <c r="HV53" s="306"/>
      <c r="HW53" s="306"/>
      <c r="HX53" s="306"/>
      <c r="HY53" s="306"/>
      <c r="HZ53" s="306"/>
      <c r="IA53" s="306"/>
      <c r="IB53" s="306"/>
      <c r="IC53" s="306"/>
      <c r="ID53" s="306"/>
      <c r="IE53" s="306"/>
    </row>
    <row r="54" spans="1:239" s="127" customFormat="1" ht="34.5" customHeight="1">
      <c r="A54" s="305">
        <v>26</v>
      </c>
      <c r="B54" s="356">
        <v>42914</v>
      </c>
      <c r="C54" s="305" t="s">
        <v>514</v>
      </c>
      <c r="D54" s="305" t="s">
        <v>559</v>
      </c>
      <c r="E54" s="305">
        <v>0.4</v>
      </c>
      <c r="F54" s="350" t="s">
        <v>711</v>
      </c>
      <c r="G54" s="305" t="s">
        <v>522</v>
      </c>
      <c r="H54" s="305">
        <v>31</v>
      </c>
      <c r="I54" s="305">
        <v>35</v>
      </c>
      <c r="J54" s="305">
        <v>162.1</v>
      </c>
      <c r="K54" s="305">
        <v>1</v>
      </c>
      <c r="L54" s="347"/>
      <c r="M54" s="346">
        <f t="shared" si="2"/>
        <v>1085</v>
      </c>
      <c r="N54" s="346">
        <f t="shared" si="3"/>
        <v>5025.099999999999</v>
      </c>
      <c r="O54" s="34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6"/>
      <c r="EL54" s="306"/>
      <c r="EM54" s="306"/>
      <c r="EN54" s="306"/>
      <c r="EO54" s="306"/>
      <c r="EP54" s="306"/>
      <c r="EQ54" s="306"/>
      <c r="ER54" s="306"/>
      <c r="ES54" s="306"/>
      <c r="ET54" s="306"/>
      <c r="EU54" s="306"/>
      <c r="EV54" s="306"/>
      <c r="EW54" s="306"/>
      <c r="EX54" s="306"/>
      <c r="EY54" s="306"/>
      <c r="EZ54" s="306"/>
      <c r="FA54" s="306"/>
      <c r="FB54" s="306"/>
      <c r="FC54" s="306"/>
      <c r="FD54" s="306"/>
      <c r="FE54" s="306"/>
      <c r="FF54" s="306"/>
      <c r="FG54" s="306"/>
      <c r="FH54" s="306"/>
      <c r="FI54" s="306"/>
      <c r="FJ54" s="306"/>
      <c r="FK54" s="306"/>
      <c r="FL54" s="306"/>
      <c r="FM54" s="306"/>
      <c r="FN54" s="306"/>
      <c r="FO54" s="306"/>
      <c r="FP54" s="306"/>
      <c r="FQ54" s="306"/>
      <c r="FR54" s="306"/>
      <c r="FS54" s="306"/>
      <c r="FT54" s="306"/>
      <c r="FU54" s="306"/>
      <c r="FV54" s="306"/>
      <c r="FW54" s="306"/>
      <c r="FX54" s="306"/>
      <c r="FY54" s="306"/>
      <c r="FZ54" s="306"/>
      <c r="GA54" s="306"/>
      <c r="GB54" s="306"/>
      <c r="GC54" s="306"/>
      <c r="GD54" s="306"/>
      <c r="GE54" s="306"/>
      <c r="GF54" s="306"/>
      <c r="GG54" s="306"/>
      <c r="GH54" s="306"/>
      <c r="GI54" s="306"/>
      <c r="GJ54" s="306"/>
      <c r="GK54" s="306"/>
      <c r="GL54" s="306"/>
      <c r="GM54" s="306"/>
      <c r="GN54" s="306"/>
      <c r="GO54" s="306"/>
      <c r="GP54" s="306"/>
      <c r="GQ54" s="306"/>
      <c r="GR54" s="306"/>
      <c r="GS54" s="306"/>
      <c r="GT54" s="306"/>
      <c r="GU54" s="306"/>
      <c r="GV54" s="306"/>
      <c r="GW54" s="306"/>
      <c r="GX54" s="306"/>
      <c r="GY54" s="306"/>
      <c r="GZ54" s="306"/>
      <c r="HA54" s="306"/>
      <c r="HB54" s="306"/>
      <c r="HC54" s="306"/>
      <c r="HD54" s="306"/>
      <c r="HE54" s="306"/>
      <c r="HF54" s="306"/>
      <c r="HG54" s="306"/>
      <c r="HH54" s="306"/>
      <c r="HI54" s="306"/>
      <c r="HJ54" s="306"/>
      <c r="HK54" s="306"/>
      <c r="HL54" s="306"/>
      <c r="HM54" s="306"/>
      <c r="HN54" s="306"/>
      <c r="HO54" s="306"/>
      <c r="HP54" s="306"/>
      <c r="HQ54" s="306"/>
      <c r="HR54" s="306"/>
      <c r="HS54" s="306"/>
      <c r="HT54" s="306"/>
      <c r="HU54" s="306"/>
      <c r="HV54" s="306"/>
      <c r="HW54" s="306"/>
      <c r="HX54" s="306"/>
      <c r="HY54" s="306"/>
      <c r="HZ54" s="306"/>
      <c r="IA54" s="306"/>
      <c r="IB54" s="306"/>
      <c r="IC54" s="306"/>
      <c r="ID54" s="306"/>
      <c r="IE54" s="306"/>
    </row>
    <row r="55" spans="1:239" s="127" customFormat="1" ht="34.5" customHeight="1">
      <c r="A55" s="307">
        <v>40</v>
      </c>
      <c r="B55" s="357">
        <v>42888</v>
      </c>
      <c r="C55" s="307" t="s">
        <v>517</v>
      </c>
      <c r="D55" s="307" t="s">
        <v>560</v>
      </c>
      <c r="E55" s="307">
        <v>10</v>
      </c>
      <c r="F55" s="355" t="s">
        <v>711</v>
      </c>
      <c r="G55" s="307" t="s">
        <v>522</v>
      </c>
      <c r="H55" s="307">
        <v>6.83</v>
      </c>
      <c r="I55" s="307">
        <v>1</v>
      </c>
      <c r="J55" s="307">
        <v>112.31</v>
      </c>
      <c r="K55" s="307">
        <v>1</v>
      </c>
      <c r="L55" s="347"/>
      <c r="M55" s="346">
        <f t="shared" si="2"/>
        <v>6.83</v>
      </c>
      <c r="N55" s="346">
        <f t="shared" si="3"/>
        <v>767.0773</v>
      </c>
      <c r="O55" s="34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6"/>
      <c r="EL55" s="306"/>
      <c r="EM55" s="306"/>
      <c r="EN55" s="306"/>
      <c r="EO55" s="306"/>
      <c r="EP55" s="306"/>
      <c r="EQ55" s="306"/>
      <c r="ER55" s="306"/>
      <c r="ES55" s="306"/>
      <c r="ET55" s="306"/>
      <c r="EU55" s="306"/>
      <c r="EV55" s="306"/>
      <c r="EW55" s="306"/>
      <c r="EX55" s="306"/>
      <c r="EY55" s="306"/>
      <c r="EZ55" s="306"/>
      <c r="FA55" s="306"/>
      <c r="FB55" s="306"/>
      <c r="FC55" s="306"/>
      <c r="FD55" s="306"/>
      <c r="FE55" s="306"/>
      <c r="FF55" s="306"/>
      <c r="FG55" s="306"/>
      <c r="FH55" s="306"/>
      <c r="FI55" s="306"/>
      <c r="FJ55" s="306"/>
      <c r="FK55" s="306"/>
      <c r="FL55" s="306"/>
      <c r="FM55" s="306"/>
      <c r="FN55" s="306"/>
      <c r="FO55" s="306"/>
      <c r="FP55" s="306"/>
      <c r="FQ55" s="306"/>
      <c r="FR55" s="306"/>
      <c r="FS55" s="306"/>
      <c r="FT55" s="306"/>
      <c r="FU55" s="306"/>
      <c r="FV55" s="306"/>
      <c r="FW55" s="306"/>
      <c r="FX55" s="306"/>
      <c r="FY55" s="306"/>
      <c r="FZ55" s="306"/>
      <c r="GA55" s="306"/>
      <c r="GB55" s="306"/>
      <c r="GC55" s="306"/>
      <c r="GD55" s="306"/>
      <c r="GE55" s="306"/>
      <c r="GF55" s="306"/>
      <c r="GG55" s="306"/>
      <c r="GH55" s="306"/>
      <c r="GI55" s="306"/>
      <c r="GJ55" s="306"/>
      <c r="GK55" s="306"/>
      <c r="GL55" s="306"/>
      <c r="GM55" s="306"/>
      <c r="GN55" s="306"/>
      <c r="GO55" s="306"/>
      <c r="GP55" s="306"/>
      <c r="GQ55" s="306"/>
      <c r="GR55" s="306"/>
      <c r="GS55" s="306"/>
      <c r="GT55" s="306"/>
      <c r="GU55" s="306"/>
      <c r="GV55" s="306"/>
      <c r="GW55" s="306"/>
      <c r="GX55" s="306"/>
      <c r="GY55" s="306"/>
      <c r="GZ55" s="306"/>
      <c r="HA55" s="306"/>
      <c r="HB55" s="306"/>
      <c r="HC55" s="306"/>
      <c r="HD55" s="306"/>
      <c r="HE55" s="306"/>
      <c r="HF55" s="306"/>
      <c r="HG55" s="306"/>
      <c r="HH55" s="306"/>
      <c r="HI55" s="306"/>
      <c r="HJ55" s="306"/>
      <c r="HK55" s="306"/>
      <c r="HL55" s="306"/>
      <c r="HM55" s="306"/>
      <c r="HN55" s="306"/>
      <c r="HO55" s="306"/>
      <c r="HP55" s="306"/>
      <c r="HQ55" s="306"/>
      <c r="HR55" s="306"/>
      <c r="HS55" s="306"/>
      <c r="HT55" s="306"/>
      <c r="HU55" s="306"/>
      <c r="HV55" s="306"/>
      <c r="HW55" s="306"/>
      <c r="HX55" s="306"/>
      <c r="HY55" s="306"/>
      <c r="HZ55" s="306"/>
      <c r="IA55" s="306"/>
      <c r="IB55" s="306"/>
      <c r="IC55" s="306"/>
      <c r="ID55" s="306"/>
      <c r="IE55" s="306"/>
    </row>
    <row r="56" spans="1:239" s="127" customFormat="1" ht="34.5" customHeight="1">
      <c r="A56" s="307">
        <v>41</v>
      </c>
      <c r="B56" s="357">
        <v>42888</v>
      </c>
      <c r="C56" s="307" t="s">
        <v>517</v>
      </c>
      <c r="D56" s="307" t="s">
        <v>561</v>
      </c>
      <c r="E56" s="307">
        <v>0.4</v>
      </c>
      <c r="F56" s="355" t="s">
        <v>711</v>
      </c>
      <c r="G56" s="307" t="s">
        <v>522</v>
      </c>
      <c r="H56" s="307">
        <v>2.75</v>
      </c>
      <c r="I56" s="307">
        <v>1</v>
      </c>
      <c r="J56" s="307">
        <v>19.79</v>
      </c>
      <c r="K56" s="307">
        <v>1</v>
      </c>
      <c r="L56" s="347"/>
      <c r="M56" s="346">
        <f t="shared" si="2"/>
        <v>2.75</v>
      </c>
      <c r="N56" s="346">
        <f t="shared" si="3"/>
        <v>54.4225</v>
      </c>
      <c r="O56" s="34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6"/>
      <c r="EL56" s="306"/>
      <c r="EM56" s="306"/>
      <c r="EN56" s="306"/>
      <c r="EO56" s="306"/>
      <c r="EP56" s="306"/>
      <c r="EQ56" s="306"/>
      <c r="ER56" s="306"/>
      <c r="ES56" s="306"/>
      <c r="ET56" s="306"/>
      <c r="EU56" s="306"/>
      <c r="EV56" s="306"/>
      <c r="EW56" s="306"/>
      <c r="EX56" s="306"/>
      <c r="EY56" s="306"/>
      <c r="EZ56" s="306"/>
      <c r="FA56" s="306"/>
      <c r="FB56" s="306"/>
      <c r="FC56" s="306"/>
      <c r="FD56" s="306"/>
      <c r="FE56" s="306"/>
      <c r="FF56" s="306"/>
      <c r="FG56" s="306"/>
      <c r="FH56" s="306"/>
      <c r="FI56" s="306"/>
      <c r="FJ56" s="306"/>
      <c r="FK56" s="306"/>
      <c r="FL56" s="306"/>
      <c r="FM56" s="306"/>
      <c r="FN56" s="306"/>
      <c r="FO56" s="306"/>
      <c r="FP56" s="306"/>
      <c r="FQ56" s="306"/>
      <c r="FR56" s="306"/>
      <c r="FS56" s="306"/>
      <c r="FT56" s="306"/>
      <c r="FU56" s="306"/>
      <c r="FV56" s="306"/>
      <c r="FW56" s="306"/>
      <c r="FX56" s="306"/>
      <c r="FY56" s="306"/>
      <c r="FZ56" s="306"/>
      <c r="GA56" s="306"/>
      <c r="GB56" s="306"/>
      <c r="GC56" s="306"/>
      <c r="GD56" s="306"/>
      <c r="GE56" s="306"/>
      <c r="GF56" s="306"/>
      <c r="GG56" s="306"/>
      <c r="GH56" s="306"/>
      <c r="GI56" s="306"/>
      <c r="GJ56" s="306"/>
      <c r="GK56" s="306"/>
      <c r="GL56" s="306"/>
      <c r="GM56" s="306"/>
      <c r="GN56" s="306"/>
      <c r="GO56" s="306"/>
      <c r="GP56" s="306"/>
      <c r="GQ56" s="306"/>
      <c r="GR56" s="306"/>
      <c r="GS56" s="306"/>
      <c r="GT56" s="306"/>
      <c r="GU56" s="306"/>
      <c r="GV56" s="306"/>
      <c r="GW56" s="306"/>
      <c r="GX56" s="306"/>
      <c r="GY56" s="306"/>
      <c r="GZ56" s="306"/>
      <c r="HA56" s="306"/>
      <c r="HB56" s="306"/>
      <c r="HC56" s="306"/>
      <c r="HD56" s="306"/>
      <c r="HE56" s="306"/>
      <c r="HF56" s="306"/>
      <c r="HG56" s="306"/>
      <c r="HH56" s="306"/>
      <c r="HI56" s="306"/>
      <c r="HJ56" s="306"/>
      <c r="HK56" s="306"/>
      <c r="HL56" s="306"/>
      <c r="HM56" s="306"/>
      <c r="HN56" s="306"/>
      <c r="HO56" s="306"/>
      <c r="HP56" s="306"/>
      <c r="HQ56" s="306"/>
      <c r="HR56" s="306"/>
      <c r="HS56" s="306"/>
      <c r="HT56" s="306"/>
      <c r="HU56" s="306"/>
      <c r="HV56" s="306"/>
      <c r="HW56" s="306"/>
      <c r="HX56" s="306"/>
      <c r="HY56" s="306"/>
      <c r="HZ56" s="306"/>
      <c r="IA56" s="306"/>
      <c r="IB56" s="306"/>
      <c r="IC56" s="306"/>
      <c r="ID56" s="306"/>
      <c r="IE56" s="306"/>
    </row>
    <row r="57" spans="1:239" s="127" customFormat="1" ht="34.5" customHeight="1">
      <c r="A57" s="307">
        <v>42</v>
      </c>
      <c r="B57" s="357">
        <v>42888</v>
      </c>
      <c r="C57" s="307" t="s">
        <v>517</v>
      </c>
      <c r="D57" s="307" t="s">
        <v>562</v>
      </c>
      <c r="E57" s="307">
        <v>0.4</v>
      </c>
      <c r="F57" s="355" t="s">
        <v>711</v>
      </c>
      <c r="G57" s="307" t="s">
        <v>522</v>
      </c>
      <c r="H57" s="307">
        <v>2.75</v>
      </c>
      <c r="I57" s="307">
        <v>1</v>
      </c>
      <c r="J57" s="307">
        <v>19.79</v>
      </c>
      <c r="K57" s="307">
        <v>1</v>
      </c>
      <c r="L57" s="347"/>
      <c r="M57" s="346">
        <f t="shared" si="2"/>
        <v>2.75</v>
      </c>
      <c r="N57" s="346">
        <f t="shared" si="3"/>
        <v>54.4225</v>
      </c>
      <c r="O57" s="34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6"/>
      <c r="FL57" s="306"/>
      <c r="FM57" s="306"/>
      <c r="FN57" s="306"/>
      <c r="FO57" s="306"/>
      <c r="FP57" s="306"/>
      <c r="FQ57" s="306"/>
      <c r="FR57" s="306"/>
      <c r="FS57" s="306"/>
      <c r="FT57" s="306"/>
      <c r="FU57" s="306"/>
      <c r="FV57" s="306"/>
      <c r="FW57" s="306"/>
      <c r="FX57" s="306"/>
      <c r="FY57" s="306"/>
      <c r="FZ57" s="306"/>
      <c r="GA57" s="306"/>
      <c r="GB57" s="306"/>
      <c r="GC57" s="306"/>
      <c r="GD57" s="306"/>
      <c r="GE57" s="306"/>
      <c r="GF57" s="306"/>
      <c r="GG57" s="306"/>
      <c r="GH57" s="306"/>
      <c r="GI57" s="306"/>
      <c r="GJ57" s="306"/>
      <c r="GK57" s="306"/>
      <c r="GL57" s="306"/>
      <c r="GM57" s="306"/>
      <c r="GN57" s="306"/>
      <c r="GO57" s="306"/>
      <c r="GP57" s="306"/>
      <c r="GQ57" s="306"/>
      <c r="GR57" s="306"/>
      <c r="GS57" s="306"/>
      <c r="GT57" s="306"/>
      <c r="GU57" s="306"/>
      <c r="GV57" s="306"/>
      <c r="GW57" s="306"/>
      <c r="GX57" s="306"/>
      <c r="GY57" s="306"/>
      <c r="GZ57" s="306"/>
      <c r="HA57" s="306"/>
      <c r="HB57" s="306"/>
      <c r="HC57" s="306"/>
      <c r="HD57" s="306"/>
      <c r="HE57" s="306"/>
      <c r="HF57" s="306"/>
      <c r="HG57" s="306"/>
      <c r="HH57" s="306"/>
      <c r="HI57" s="306"/>
      <c r="HJ57" s="306"/>
      <c r="HK57" s="306"/>
      <c r="HL57" s="306"/>
      <c r="HM57" s="306"/>
      <c r="HN57" s="306"/>
      <c r="HO57" s="306"/>
      <c r="HP57" s="306"/>
      <c r="HQ57" s="306"/>
      <c r="HR57" s="306"/>
      <c r="HS57" s="306"/>
      <c r="HT57" s="306"/>
      <c r="HU57" s="306"/>
      <c r="HV57" s="306"/>
      <c r="HW57" s="306"/>
      <c r="HX57" s="306"/>
      <c r="HY57" s="306"/>
      <c r="HZ57" s="306"/>
      <c r="IA57" s="306"/>
      <c r="IB57" s="306"/>
      <c r="IC57" s="306"/>
      <c r="ID57" s="306"/>
      <c r="IE57" s="306"/>
    </row>
    <row r="58" spans="1:239" s="127" customFormat="1" ht="34.5" customHeight="1">
      <c r="A58" s="307">
        <v>43</v>
      </c>
      <c r="B58" s="357">
        <v>42888</v>
      </c>
      <c r="C58" s="307" t="s">
        <v>517</v>
      </c>
      <c r="D58" s="307" t="s">
        <v>563</v>
      </c>
      <c r="E58" s="307">
        <v>0.4</v>
      </c>
      <c r="F58" s="355" t="s">
        <v>711</v>
      </c>
      <c r="G58" s="307" t="s">
        <v>522</v>
      </c>
      <c r="H58" s="307">
        <v>2.75</v>
      </c>
      <c r="I58" s="307">
        <v>1</v>
      </c>
      <c r="J58" s="307">
        <v>19.79</v>
      </c>
      <c r="K58" s="307">
        <v>1</v>
      </c>
      <c r="L58" s="347"/>
      <c r="M58" s="346">
        <f t="shared" si="2"/>
        <v>2.75</v>
      </c>
      <c r="N58" s="346">
        <f t="shared" si="3"/>
        <v>54.4225</v>
      </c>
      <c r="O58" s="34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6"/>
      <c r="FF58" s="306"/>
      <c r="FG58" s="306"/>
      <c r="FH58" s="306"/>
      <c r="FI58" s="306"/>
      <c r="FJ58" s="306"/>
      <c r="FK58" s="306"/>
      <c r="FL58" s="306"/>
      <c r="FM58" s="306"/>
      <c r="FN58" s="306"/>
      <c r="FO58" s="306"/>
      <c r="FP58" s="306"/>
      <c r="FQ58" s="306"/>
      <c r="FR58" s="306"/>
      <c r="FS58" s="306"/>
      <c r="FT58" s="306"/>
      <c r="FU58" s="306"/>
      <c r="FV58" s="306"/>
      <c r="FW58" s="306"/>
      <c r="FX58" s="306"/>
      <c r="FY58" s="306"/>
      <c r="FZ58" s="306"/>
      <c r="GA58" s="306"/>
      <c r="GB58" s="306"/>
      <c r="GC58" s="306"/>
      <c r="GD58" s="306"/>
      <c r="GE58" s="306"/>
      <c r="GF58" s="306"/>
      <c r="GG58" s="306"/>
      <c r="GH58" s="306"/>
      <c r="GI58" s="306"/>
      <c r="GJ58" s="306"/>
      <c r="GK58" s="306"/>
      <c r="GL58" s="306"/>
      <c r="GM58" s="306"/>
      <c r="GN58" s="306"/>
      <c r="GO58" s="306"/>
      <c r="GP58" s="306"/>
      <c r="GQ58" s="306"/>
      <c r="GR58" s="306"/>
      <c r="GS58" s="306"/>
      <c r="GT58" s="306"/>
      <c r="GU58" s="306"/>
      <c r="GV58" s="306"/>
      <c r="GW58" s="306"/>
      <c r="GX58" s="306"/>
      <c r="GY58" s="306"/>
      <c r="GZ58" s="306"/>
      <c r="HA58" s="306"/>
      <c r="HB58" s="306"/>
      <c r="HC58" s="306"/>
      <c r="HD58" s="306"/>
      <c r="HE58" s="306"/>
      <c r="HF58" s="306"/>
      <c r="HG58" s="306"/>
      <c r="HH58" s="306"/>
      <c r="HI58" s="306"/>
      <c r="HJ58" s="306"/>
      <c r="HK58" s="306"/>
      <c r="HL58" s="306"/>
      <c r="HM58" s="306"/>
      <c r="HN58" s="306"/>
      <c r="HO58" s="306"/>
      <c r="HP58" s="306"/>
      <c r="HQ58" s="306"/>
      <c r="HR58" s="306"/>
      <c r="HS58" s="306"/>
      <c r="HT58" s="306"/>
      <c r="HU58" s="306"/>
      <c r="HV58" s="306"/>
      <c r="HW58" s="306"/>
      <c r="HX58" s="306"/>
      <c r="HY58" s="306"/>
      <c r="HZ58" s="306"/>
      <c r="IA58" s="306"/>
      <c r="IB58" s="306"/>
      <c r="IC58" s="306"/>
      <c r="ID58" s="306"/>
      <c r="IE58" s="306"/>
    </row>
    <row r="59" spans="1:239" s="127" customFormat="1" ht="34.5" customHeight="1">
      <c r="A59" s="307">
        <v>44</v>
      </c>
      <c r="B59" s="357">
        <v>42888</v>
      </c>
      <c r="C59" s="307" t="s">
        <v>517</v>
      </c>
      <c r="D59" s="307" t="s">
        <v>564</v>
      </c>
      <c r="E59" s="307">
        <v>0.4</v>
      </c>
      <c r="F59" s="355" t="s">
        <v>711</v>
      </c>
      <c r="G59" s="307" t="s">
        <v>522</v>
      </c>
      <c r="H59" s="307">
        <v>2.75</v>
      </c>
      <c r="I59" s="307">
        <v>1</v>
      </c>
      <c r="J59" s="307">
        <v>18.27</v>
      </c>
      <c r="K59" s="307">
        <v>1</v>
      </c>
      <c r="L59" s="347"/>
      <c r="M59" s="346">
        <f t="shared" si="2"/>
        <v>2.75</v>
      </c>
      <c r="N59" s="346">
        <f t="shared" si="3"/>
        <v>50.2425</v>
      </c>
      <c r="O59" s="34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  <c r="EN59" s="306"/>
      <c r="EO59" s="306"/>
      <c r="EP59" s="306"/>
      <c r="EQ59" s="306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6"/>
      <c r="FF59" s="306"/>
      <c r="FG59" s="306"/>
      <c r="FH59" s="306"/>
      <c r="FI59" s="306"/>
      <c r="FJ59" s="306"/>
      <c r="FK59" s="306"/>
      <c r="FL59" s="306"/>
      <c r="FM59" s="306"/>
      <c r="FN59" s="306"/>
      <c r="FO59" s="306"/>
      <c r="FP59" s="306"/>
      <c r="FQ59" s="306"/>
      <c r="FR59" s="306"/>
      <c r="FS59" s="306"/>
      <c r="FT59" s="306"/>
      <c r="FU59" s="306"/>
      <c r="FV59" s="306"/>
      <c r="FW59" s="306"/>
      <c r="FX59" s="306"/>
      <c r="FY59" s="306"/>
      <c r="FZ59" s="306"/>
      <c r="GA59" s="306"/>
      <c r="GB59" s="306"/>
      <c r="GC59" s="306"/>
      <c r="GD59" s="306"/>
      <c r="GE59" s="306"/>
      <c r="GF59" s="306"/>
      <c r="GG59" s="306"/>
      <c r="GH59" s="306"/>
      <c r="GI59" s="306"/>
      <c r="GJ59" s="306"/>
      <c r="GK59" s="306"/>
      <c r="GL59" s="306"/>
      <c r="GM59" s="306"/>
      <c r="GN59" s="306"/>
      <c r="GO59" s="306"/>
      <c r="GP59" s="306"/>
      <c r="GQ59" s="306"/>
      <c r="GR59" s="306"/>
      <c r="GS59" s="306"/>
      <c r="GT59" s="306"/>
      <c r="GU59" s="306"/>
      <c r="GV59" s="306"/>
      <c r="GW59" s="306"/>
      <c r="GX59" s="306"/>
      <c r="GY59" s="306"/>
      <c r="GZ59" s="306"/>
      <c r="HA59" s="306"/>
      <c r="HB59" s="306"/>
      <c r="HC59" s="306"/>
      <c r="HD59" s="306"/>
      <c r="HE59" s="306"/>
      <c r="HF59" s="306"/>
      <c r="HG59" s="306"/>
      <c r="HH59" s="306"/>
      <c r="HI59" s="306"/>
      <c r="HJ59" s="306"/>
      <c r="HK59" s="306"/>
      <c r="HL59" s="306"/>
      <c r="HM59" s="306"/>
      <c r="HN59" s="306"/>
      <c r="HO59" s="306"/>
      <c r="HP59" s="306"/>
      <c r="HQ59" s="306"/>
      <c r="HR59" s="306"/>
      <c r="HS59" s="306"/>
      <c r="HT59" s="306"/>
      <c r="HU59" s="306"/>
      <c r="HV59" s="306"/>
      <c r="HW59" s="306"/>
      <c r="HX59" s="306"/>
      <c r="HY59" s="306"/>
      <c r="HZ59" s="306"/>
      <c r="IA59" s="306"/>
      <c r="IB59" s="306"/>
      <c r="IC59" s="306"/>
      <c r="ID59" s="306"/>
      <c r="IE59" s="306"/>
    </row>
    <row r="60" spans="1:239" s="127" customFormat="1" ht="34.5" customHeight="1">
      <c r="A60" s="307">
        <v>45</v>
      </c>
      <c r="B60" s="357">
        <v>42893</v>
      </c>
      <c r="C60" s="307" t="s">
        <v>517</v>
      </c>
      <c r="D60" s="307" t="s">
        <v>565</v>
      </c>
      <c r="E60" s="307">
        <v>10</v>
      </c>
      <c r="F60" s="355" t="s">
        <v>711</v>
      </c>
      <c r="G60" s="307" t="s">
        <v>522</v>
      </c>
      <c r="H60" s="307">
        <v>5.5</v>
      </c>
      <c r="I60" s="307">
        <v>3</v>
      </c>
      <c r="J60" s="307">
        <v>41.73</v>
      </c>
      <c r="K60" s="307">
        <v>1</v>
      </c>
      <c r="L60" s="347"/>
      <c r="M60" s="346">
        <f t="shared" si="2"/>
        <v>16.5</v>
      </c>
      <c r="N60" s="346">
        <f t="shared" si="3"/>
        <v>229.515</v>
      </c>
      <c r="O60" s="34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M60" s="306"/>
      <c r="EN60" s="306"/>
      <c r="EO60" s="306"/>
      <c r="EP60" s="306"/>
      <c r="EQ60" s="306"/>
      <c r="ER60" s="306"/>
      <c r="ES60" s="306"/>
      <c r="ET60" s="306"/>
      <c r="EU60" s="306"/>
      <c r="EV60" s="306"/>
      <c r="EW60" s="306"/>
      <c r="EX60" s="306"/>
      <c r="EY60" s="306"/>
      <c r="EZ60" s="306"/>
      <c r="FA60" s="306"/>
      <c r="FB60" s="306"/>
      <c r="FC60" s="306"/>
      <c r="FD60" s="306"/>
      <c r="FE60" s="306"/>
      <c r="FF60" s="306"/>
      <c r="FG60" s="306"/>
      <c r="FH60" s="306"/>
      <c r="FI60" s="306"/>
      <c r="FJ60" s="306"/>
      <c r="FK60" s="306"/>
      <c r="FL60" s="306"/>
      <c r="FM60" s="306"/>
      <c r="FN60" s="306"/>
      <c r="FO60" s="306"/>
      <c r="FP60" s="306"/>
      <c r="FQ60" s="306"/>
      <c r="FR60" s="306"/>
      <c r="FS60" s="306"/>
      <c r="FT60" s="306"/>
      <c r="FU60" s="306"/>
      <c r="FV60" s="306"/>
      <c r="FW60" s="306"/>
      <c r="FX60" s="306"/>
      <c r="FY60" s="306"/>
      <c r="FZ60" s="306"/>
      <c r="GA60" s="306"/>
      <c r="GB60" s="306"/>
      <c r="GC60" s="306"/>
      <c r="GD60" s="306"/>
      <c r="GE60" s="306"/>
      <c r="GF60" s="306"/>
      <c r="GG60" s="306"/>
      <c r="GH60" s="306"/>
      <c r="GI60" s="306"/>
      <c r="GJ60" s="306"/>
      <c r="GK60" s="306"/>
      <c r="GL60" s="306"/>
      <c r="GM60" s="306"/>
      <c r="GN60" s="306"/>
      <c r="GO60" s="306"/>
      <c r="GP60" s="306"/>
      <c r="GQ60" s="306"/>
      <c r="GR60" s="306"/>
      <c r="GS60" s="306"/>
      <c r="GT60" s="306"/>
      <c r="GU60" s="306"/>
      <c r="GV60" s="306"/>
      <c r="GW60" s="306"/>
      <c r="GX60" s="306"/>
      <c r="GY60" s="306"/>
      <c r="GZ60" s="306"/>
      <c r="HA60" s="306"/>
      <c r="HB60" s="306"/>
      <c r="HC60" s="306"/>
      <c r="HD60" s="306"/>
      <c r="HE60" s="306"/>
      <c r="HF60" s="306"/>
      <c r="HG60" s="306"/>
      <c r="HH60" s="306"/>
      <c r="HI60" s="306"/>
      <c r="HJ60" s="306"/>
      <c r="HK60" s="306"/>
      <c r="HL60" s="306"/>
      <c r="HM60" s="306"/>
      <c r="HN60" s="306"/>
      <c r="HO60" s="306"/>
      <c r="HP60" s="306"/>
      <c r="HQ60" s="306"/>
      <c r="HR60" s="306"/>
      <c r="HS60" s="306"/>
      <c r="HT60" s="306"/>
      <c r="HU60" s="306"/>
      <c r="HV60" s="306"/>
      <c r="HW60" s="306"/>
      <c r="HX60" s="306"/>
      <c r="HY60" s="306"/>
      <c r="HZ60" s="306"/>
      <c r="IA60" s="306"/>
      <c r="IB60" s="306"/>
      <c r="IC60" s="306"/>
      <c r="ID60" s="306"/>
      <c r="IE60" s="306"/>
    </row>
    <row r="61" spans="1:239" s="127" customFormat="1" ht="34.5" customHeight="1">
      <c r="A61" s="307">
        <v>46</v>
      </c>
      <c r="B61" s="357">
        <v>42908</v>
      </c>
      <c r="C61" s="307" t="s">
        <v>517</v>
      </c>
      <c r="D61" s="307" t="s">
        <v>566</v>
      </c>
      <c r="E61" s="307">
        <v>0.4</v>
      </c>
      <c r="F61" s="355" t="s">
        <v>711</v>
      </c>
      <c r="G61" s="307" t="s">
        <v>522</v>
      </c>
      <c r="H61" s="307">
        <v>2.33</v>
      </c>
      <c r="I61" s="307">
        <v>1</v>
      </c>
      <c r="J61" s="307">
        <v>1.87</v>
      </c>
      <c r="K61" s="307">
        <v>1</v>
      </c>
      <c r="L61" s="347"/>
      <c r="M61" s="346">
        <f t="shared" si="2"/>
        <v>2.33</v>
      </c>
      <c r="N61" s="346">
        <f t="shared" si="3"/>
        <v>4.3571</v>
      </c>
      <c r="O61" s="34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6"/>
      <c r="EL61" s="306"/>
      <c r="EM61" s="306"/>
      <c r="EN61" s="306"/>
      <c r="EO61" s="306"/>
      <c r="EP61" s="306"/>
      <c r="EQ61" s="306"/>
      <c r="ER61" s="306"/>
      <c r="ES61" s="306"/>
      <c r="ET61" s="306"/>
      <c r="EU61" s="306"/>
      <c r="EV61" s="306"/>
      <c r="EW61" s="306"/>
      <c r="EX61" s="306"/>
      <c r="EY61" s="306"/>
      <c r="EZ61" s="306"/>
      <c r="FA61" s="306"/>
      <c r="FB61" s="306"/>
      <c r="FC61" s="306"/>
      <c r="FD61" s="306"/>
      <c r="FE61" s="306"/>
      <c r="FF61" s="306"/>
      <c r="FG61" s="306"/>
      <c r="FH61" s="306"/>
      <c r="FI61" s="306"/>
      <c r="FJ61" s="306"/>
      <c r="FK61" s="306"/>
      <c r="FL61" s="306"/>
      <c r="FM61" s="306"/>
      <c r="FN61" s="306"/>
      <c r="FO61" s="306"/>
      <c r="FP61" s="306"/>
      <c r="FQ61" s="306"/>
      <c r="FR61" s="306"/>
      <c r="FS61" s="306"/>
      <c r="FT61" s="306"/>
      <c r="FU61" s="306"/>
      <c r="FV61" s="306"/>
      <c r="FW61" s="306"/>
      <c r="FX61" s="306"/>
      <c r="FY61" s="306"/>
      <c r="FZ61" s="306"/>
      <c r="GA61" s="306"/>
      <c r="GB61" s="306"/>
      <c r="GC61" s="306"/>
      <c r="GD61" s="306"/>
      <c r="GE61" s="306"/>
      <c r="GF61" s="306"/>
      <c r="GG61" s="306"/>
      <c r="GH61" s="306"/>
      <c r="GI61" s="306"/>
      <c r="GJ61" s="306"/>
      <c r="GK61" s="306"/>
      <c r="GL61" s="306"/>
      <c r="GM61" s="306"/>
      <c r="GN61" s="306"/>
      <c r="GO61" s="306"/>
      <c r="GP61" s="306"/>
      <c r="GQ61" s="306"/>
      <c r="GR61" s="306"/>
      <c r="GS61" s="306"/>
      <c r="GT61" s="306"/>
      <c r="GU61" s="306"/>
      <c r="GV61" s="306"/>
      <c r="GW61" s="306"/>
      <c r="GX61" s="306"/>
      <c r="GY61" s="306"/>
      <c r="GZ61" s="306"/>
      <c r="HA61" s="306"/>
      <c r="HB61" s="306"/>
      <c r="HC61" s="306"/>
      <c r="HD61" s="306"/>
      <c r="HE61" s="306"/>
      <c r="HF61" s="306"/>
      <c r="HG61" s="306"/>
      <c r="HH61" s="306"/>
      <c r="HI61" s="306"/>
      <c r="HJ61" s="306"/>
      <c r="HK61" s="306"/>
      <c r="HL61" s="306"/>
      <c r="HM61" s="306"/>
      <c r="HN61" s="306"/>
      <c r="HO61" s="306"/>
      <c r="HP61" s="306"/>
      <c r="HQ61" s="306"/>
      <c r="HR61" s="306"/>
      <c r="HS61" s="306"/>
      <c r="HT61" s="306"/>
      <c r="HU61" s="306"/>
      <c r="HV61" s="306"/>
      <c r="HW61" s="306"/>
      <c r="HX61" s="306"/>
      <c r="HY61" s="306"/>
      <c r="HZ61" s="306"/>
      <c r="IA61" s="306"/>
      <c r="IB61" s="306"/>
      <c r="IC61" s="306"/>
      <c r="ID61" s="306"/>
      <c r="IE61" s="306"/>
    </row>
    <row r="62" spans="1:239" s="127" customFormat="1" ht="34.5" customHeight="1">
      <c r="A62" s="307">
        <v>47</v>
      </c>
      <c r="B62" s="357">
        <v>42908</v>
      </c>
      <c r="C62" s="307" t="s">
        <v>517</v>
      </c>
      <c r="D62" s="307" t="s">
        <v>567</v>
      </c>
      <c r="E62" s="307">
        <v>0.4</v>
      </c>
      <c r="F62" s="355" t="s">
        <v>711</v>
      </c>
      <c r="G62" s="307" t="s">
        <v>522</v>
      </c>
      <c r="H62" s="307">
        <v>2.33</v>
      </c>
      <c r="I62" s="307">
        <v>2</v>
      </c>
      <c r="J62" s="307">
        <v>22.42</v>
      </c>
      <c r="K62" s="307">
        <v>1</v>
      </c>
      <c r="L62" s="347"/>
      <c r="M62" s="346">
        <f t="shared" si="2"/>
        <v>4.66</v>
      </c>
      <c r="N62" s="346">
        <f t="shared" si="3"/>
        <v>52.238600000000005</v>
      </c>
      <c r="O62" s="34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306"/>
      <c r="FK62" s="306"/>
      <c r="FL62" s="306"/>
      <c r="FM62" s="306"/>
      <c r="FN62" s="306"/>
      <c r="FO62" s="306"/>
      <c r="FP62" s="306"/>
      <c r="FQ62" s="306"/>
      <c r="FR62" s="306"/>
      <c r="FS62" s="306"/>
      <c r="FT62" s="306"/>
      <c r="FU62" s="306"/>
      <c r="FV62" s="306"/>
      <c r="FW62" s="306"/>
      <c r="FX62" s="306"/>
      <c r="FY62" s="306"/>
      <c r="FZ62" s="306"/>
      <c r="GA62" s="306"/>
      <c r="GB62" s="306"/>
      <c r="GC62" s="306"/>
      <c r="GD62" s="306"/>
      <c r="GE62" s="306"/>
      <c r="GF62" s="306"/>
      <c r="GG62" s="306"/>
      <c r="GH62" s="306"/>
      <c r="GI62" s="306"/>
      <c r="GJ62" s="306"/>
      <c r="GK62" s="306"/>
      <c r="GL62" s="306"/>
      <c r="GM62" s="306"/>
      <c r="GN62" s="306"/>
      <c r="GO62" s="306"/>
      <c r="GP62" s="306"/>
      <c r="GQ62" s="306"/>
      <c r="GR62" s="306"/>
      <c r="GS62" s="306"/>
      <c r="GT62" s="306"/>
      <c r="GU62" s="306"/>
      <c r="GV62" s="306"/>
      <c r="GW62" s="306"/>
      <c r="GX62" s="306"/>
      <c r="GY62" s="306"/>
      <c r="GZ62" s="306"/>
      <c r="HA62" s="306"/>
      <c r="HB62" s="306"/>
      <c r="HC62" s="306"/>
      <c r="HD62" s="306"/>
      <c r="HE62" s="306"/>
      <c r="HF62" s="306"/>
      <c r="HG62" s="306"/>
      <c r="HH62" s="306"/>
      <c r="HI62" s="306"/>
      <c r="HJ62" s="306"/>
      <c r="HK62" s="306"/>
      <c r="HL62" s="306"/>
      <c r="HM62" s="306"/>
      <c r="HN62" s="306"/>
      <c r="HO62" s="306"/>
      <c r="HP62" s="306"/>
      <c r="HQ62" s="306"/>
      <c r="HR62" s="306"/>
      <c r="HS62" s="306"/>
      <c r="HT62" s="306"/>
      <c r="HU62" s="306"/>
      <c r="HV62" s="306"/>
      <c r="HW62" s="306"/>
      <c r="HX62" s="306"/>
      <c r="HY62" s="306"/>
      <c r="HZ62" s="306"/>
      <c r="IA62" s="306"/>
      <c r="IB62" s="306"/>
      <c r="IC62" s="306"/>
      <c r="ID62" s="306"/>
      <c r="IE62" s="306"/>
    </row>
    <row r="63" spans="1:239" s="127" customFormat="1" ht="34.5" customHeight="1">
      <c r="A63" s="307">
        <v>48</v>
      </c>
      <c r="B63" s="357">
        <v>42909</v>
      </c>
      <c r="C63" s="307" t="s">
        <v>517</v>
      </c>
      <c r="D63" s="307" t="s">
        <v>568</v>
      </c>
      <c r="E63" s="307">
        <v>0.4</v>
      </c>
      <c r="F63" s="355" t="s">
        <v>711</v>
      </c>
      <c r="G63" s="307" t="s">
        <v>522</v>
      </c>
      <c r="H63" s="307">
        <v>1.92</v>
      </c>
      <c r="I63" s="307">
        <v>1</v>
      </c>
      <c r="J63" s="307">
        <v>14.64</v>
      </c>
      <c r="K63" s="307">
        <v>1</v>
      </c>
      <c r="L63" s="347"/>
      <c r="M63" s="346">
        <f t="shared" si="2"/>
        <v>1.92</v>
      </c>
      <c r="N63" s="346">
        <f t="shared" si="3"/>
        <v>28.1088</v>
      </c>
      <c r="O63" s="34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6"/>
      <c r="EL63" s="306"/>
      <c r="EM63" s="306"/>
      <c r="EN63" s="306"/>
      <c r="EO63" s="306"/>
      <c r="EP63" s="306"/>
      <c r="EQ63" s="306"/>
      <c r="ER63" s="306"/>
      <c r="ES63" s="306"/>
      <c r="ET63" s="306"/>
      <c r="EU63" s="306"/>
      <c r="EV63" s="306"/>
      <c r="EW63" s="306"/>
      <c r="EX63" s="306"/>
      <c r="EY63" s="306"/>
      <c r="EZ63" s="306"/>
      <c r="FA63" s="306"/>
      <c r="FB63" s="306"/>
      <c r="FC63" s="306"/>
      <c r="FD63" s="306"/>
      <c r="FE63" s="306"/>
      <c r="FF63" s="306"/>
      <c r="FG63" s="306"/>
      <c r="FH63" s="306"/>
      <c r="FI63" s="306"/>
      <c r="FJ63" s="306"/>
      <c r="FK63" s="306"/>
      <c r="FL63" s="306"/>
      <c r="FM63" s="306"/>
      <c r="FN63" s="306"/>
      <c r="FO63" s="306"/>
      <c r="FP63" s="306"/>
      <c r="FQ63" s="306"/>
      <c r="FR63" s="306"/>
      <c r="FS63" s="306"/>
      <c r="FT63" s="306"/>
      <c r="FU63" s="306"/>
      <c r="FV63" s="306"/>
      <c r="FW63" s="306"/>
      <c r="FX63" s="306"/>
      <c r="FY63" s="306"/>
      <c r="FZ63" s="306"/>
      <c r="GA63" s="306"/>
      <c r="GB63" s="306"/>
      <c r="GC63" s="306"/>
      <c r="GD63" s="306"/>
      <c r="GE63" s="306"/>
      <c r="GF63" s="306"/>
      <c r="GG63" s="306"/>
      <c r="GH63" s="306"/>
      <c r="GI63" s="306"/>
      <c r="GJ63" s="306"/>
      <c r="GK63" s="306"/>
      <c r="GL63" s="306"/>
      <c r="GM63" s="306"/>
      <c r="GN63" s="306"/>
      <c r="GO63" s="306"/>
      <c r="GP63" s="306"/>
      <c r="GQ63" s="306"/>
      <c r="GR63" s="306"/>
      <c r="GS63" s="306"/>
      <c r="GT63" s="306"/>
      <c r="GU63" s="306"/>
      <c r="GV63" s="306"/>
      <c r="GW63" s="306"/>
      <c r="GX63" s="306"/>
      <c r="GY63" s="306"/>
      <c r="GZ63" s="306"/>
      <c r="HA63" s="306"/>
      <c r="HB63" s="306"/>
      <c r="HC63" s="306"/>
      <c r="HD63" s="306"/>
      <c r="HE63" s="306"/>
      <c r="HF63" s="306"/>
      <c r="HG63" s="306"/>
      <c r="HH63" s="306"/>
      <c r="HI63" s="306"/>
      <c r="HJ63" s="306"/>
      <c r="HK63" s="306"/>
      <c r="HL63" s="306"/>
      <c r="HM63" s="306"/>
      <c r="HN63" s="306"/>
      <c r="HO63" s="306"/>
      <c r="HP63" s="306"/>
      <c r="HQ63" s="306"/>
      <c r="HR63" s="306"/>
      <c r="HS63" s="306"/>
      <c r="HT63" s="306"/>
      <c r="HU63" s="306"/>
      <c r="HV63" s="306"/>
      <c r="HW63" s="306"/>
      <c r="HX63" s="306"/>
      <c r="HY63" s="306"/>
      <c r="HZ63" s="306"/>
      <c r="IA63" s="306"/>
      <c r="IB63" s="306"/>
      <c r="IC63" s="306"/>
      <c r="ID63" s="306"/>
      <c r="IE63" s="306"/>
    </row>
    <row r="64" spans="1:239" s="127" customFormat="1" ht="34.5" customHeight="1">
      <c r="A64" s="307">
        <v>49</v>
      </c>
      <c r="B64" s="357">
        <v>42909</v>
      </c>
      <c r="C64" s="307" t="s">
        <v>517</v>
      </c>
      <c r="D64" s="307" t="s">
        <v>569</v>
      </c>
      <c r="E64" s="307">
        <v>0.4</v>
      </c>
      <c r="F64" s="355" t="s">
        <v>711</v>
      </c>
      <c r="G64" s="307" t="s">
        <v>522</v>
      </c>
      <c r="H64" s="307">
        <v>1.92</v>
      </c>
      <c r="I64" s="307">
        <v>2</v>
      </c>
      <c r="J64" s="307">
        <v>14.64</v>
      </c>
      <c r="K64" s="307">
        <v>1</v>
      </c>
      <c r="L64" s="347"/>
      <c r="M64" s="346">
        <f t="shared" si="2"/>
        <v>3.84</v>
      </c>
      <c r="N64" s="346">
        <f t="shared" si="3"/>
        <v>28.1088</v>
      </c>
      <c r="O64" s="34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6"/>
      <c r="EL64" s="306"/>
      <c r="EM64" s="306"/>
      <c r="EN64" s="306"/>
      <c r="EO64" s="306"/>
      <c r="EP64" s="306"/>
      <c r="EQ64" s="306"/>
      <c r="ER64" s="306"/>
      <c r="ES64" s="306"/>
      <c r="ET64" s="306"/>
      <c r="EU64" s="306"/>
      <c r="EV64" s="306"/>
      <c r="EW64" s="306"/>
      <c r="EX64" s="306"/>
      <c r="EY64" s="306"/>
      <c r="EZ64" s="306"/>
      <c r="FA64" s="306"/>
      <c r="FB64" s="306"/>
      <c r="FC64" s="306"/>
      <c r="FD64" s="306"/>
      <c r="FE64" s="306"/>
      <c r="FF64" s="306"/>
      <c r="FG64" s="306"/>
      <c r="FH64" s="306"/>
      <c r="FI64" s="306"/>
      <c r="FJ64" s="306"/>
      <c r="FK64" s="306"/>
      <c r="FL64" s="306"/>
      <c r="FM64" s="306"/>
      <c r="FN64" s="306"/>
      <c r="FO64" s="306"/>
      <c r="FP64" s="306"/>
      <c r="FQ64" s="306"/>
      <c r="FR64" s="306"/>
      <c r="FS64" s="306"/>
      <c r="FT64" s="306"/>
      <c r="FU64" s="306"/>
      <c r="FV64" s="306"/>
      <c r="FW64" s="306"/>
      <c r="FX64" s="306"/>
      <c r="FY64" s="306"/>
      <c r="FZ64" s="306"/>
      <c r="GA64" s="306"/>
      <c r="GB64" s="306"/>
      <c r="GC64" s="306"/>
      <c r="GD64" s="306"/>
      <c r="GE64" s="306"/>
      <c r="GF64" s="306"/>
      <c r="GG64" s="306"/>
      <c r="GH64" s="306"/>
      <c r="GI64" s="306"/>
      <c r="GJ64" s="306"/>
      <c r="GK64" s="306"/>
      <c r="GL64" s="306"/>
      <c r="GM64" s="306"/>
      <c r="GN64" s="306"/>
      <c r="GO64" s="306"/>
      <c r="GP64" s="306"/>
      <c r="GQ64" s="306"/>
      <c r="GR64" s="306"/>
      <c r="GS64" s="306"/>
      <c r="GT64" s="306"/>
      <c r="GU64" s="306"/>
      <c r="GV64" s="306"/>
      <c r="GW64" s="306"/>
      <c r="GX64" s="306"/>
      <c r="GY64" s="306"/>
      <c r="GZ64" s="306"/>
      <c r="HA64" s="306"/>
      <c r="HB64" s="306"/>
      <c r="HC64" s="306"/>
      <c r="HD64" s="306"/>
      <c r="HE64" s="306"/>
      <c r="HF64" s="306"/>
      <c r="HG64" s="306"/>
      <c r="HH64" s="306"/>
      <c r="HI64" s="306"/>
      <c r="HJ64" s="306"/>
      <c r="HK64" s="306"/>
      <c r="HL64" s="306"/>
      <c r="HM64" s="306"/>
      <c r="HN64" s="306"/>
      <c r="HO64" s="306"/>
      <c r="HP64" s="306"/>
      <c r="HQ64" s="306"/>
      <c r="HR64" s="306"/>
      <c r="HS64" s="306"/>
      <c r="HT64" s="306"/>
      <c r="HU64" s="306"/>
      <c r="HV64" s="306"/>
      <c r="HW64" s="306"/>
      <c r="HX64" s="306"/>
      <c r="HY64" s="306"/>
      <c r="HZ64" s="306"/>
      <c r="IA64" s="306"/>
      <c r="IB64" s="306"/>
      <c r="IC64" s="306"/>
      <c r="ID64" s="306"/>
      <c r="IE64" s="306"/>
    </row>
    <row r="65" spans="1:239" s="127" customFormat="1" ht="34.5" customHeight="1">
      <c r="A65" s="307">
        <v>50</v>
      </c>
      <c r="B65" s="357">
        <v>42912</v>
      </c>
      <c r="C65" s="307" t="s">
        <v>517</v>
      </c>
      <c r="D65" s="307" t="s">
        <v>570</v>
      </c>
      <c r="E65" s="307">
        <v>10</v>
      </c>
      <c r="F65" s="355" t="s">
        <v>711</v>
      </c>
      <c r="G65" s="307" t="s">
        <v>522</v>
      </c>
      <c r="H65" s="307">
        <v>6.17</v>
      </c>
      <c r="I65" s="307">
        <v>7</v>
      </c>
      <c r="J65" s="307">
        <v>24.5</v>
      </c>
      <c r="K65" s="307">
        <v>1</v>
      </c>
      <c r="L65" s="347"/>
      <c r="M65" s="346">
        <f t="shared" si="2"/>
        <v>43.19</v>
      </c>
      <c r="N65" s="346">
        <f t="shared" si="3"/>
        <v>151.165</v>
      </c>
      <c r="O65" s="34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6"/>
      <c r="EL65" s="306"/>
      <c r="EM65" s="306"/>
      <c r="EN65" s="306"/>
      <c r="EO65" s="306"/>
      <c r="EP65" s="306"/>
      <c r="EQ65" s="306"/>
      <c r="ER65" s="306"/>
      <c r="ES65" s="306"/>
      <c r="ET65" s="306"/>
      <c r="EU65" s="306"/>
      <c r="EV65" s="306"/>
      <c r="EW65" s="306"/>
      <c r="EX65" s="306"/>
      <c r="EY65" s="306"/>
      <c r="EZ65" s="306"/>
      <c r="FA65" s="306"/>
      <c r="FB65" s="306"/>
      <c r="FC65" s="306"/>
      <c r="FD65" s="306"/>
      <c r="FE65" s="306"/>
      <c r="FF65" s="306"/>
      <c r="FG65" s="306"/>
      <c r="FH65" s="306"/>
      <c r="FI65" s="306"/>
      <c r="FJ65" s="306"/>
      <c r="FK65" s="306"/>
      <c r="FL65" s="306"/>
      <c r="FM65" s="306"/>
      <c r="FN65" s="306"/>
      <c r="FO65" s="306"/>
      <c r="FP65" s="306"/>
      <c r="FQ65" s="306"/>
      <c r="FR65" s="306"/>
      <c r="FS65" s="306"/>
      <c r="FT65" s="306"/>
      <c r="FU65" s="306"/>
      <c r="FV65" s="306"/>
      <c r="FW65" s="306"/>
      <c r="FX65" s="306"/>
      <c r="FY65" s="306"/>
      <c r="FZ65" s="306"/>
      <c r="GA65" s="306"/>
      <c r="GB65" s="306"/>
      <c r="GC65" s="306"/>
      <c r="GD65" s="306"/>
      <c r="GE65" s="306"/>
      <c r="GF65" s="306"/>
      <c r="GG65" s="306"/>
      <c r="GH65" s="306"/>
      <c r="GI65" s="306"/>
      <c r="GJ65" s="306"/>
      <c r="GK65" s="306"/>
      <c r="GL65" s="306"/>
      <c r="GM65" s="306"/>
      <c r="GN65" s="306"/>
      <c r="GO65" s="306"/>
      <c r="GP65" s="306"/>
      <c r="GQ65" s="306"/>
      <c r="GR65" s="306"/>
      <c r="GS65" s="306"/>
      <c r="GT65" s="306"/>
      <c r="GU65" s="306"/>
      <c r="GV65" s="306"/>
      <c r="GW65" s="306"/>
      <c r="GX65" s="306"/>
      <c r="GY65" s="306"/>
      <c r="GZ65" s="306"/>
      <c r="HA65" s="306"/>
      <c r="HB65" s="306"/>
      <c r="HC65" s="306"/>
      <c r="HD65" s="306"/>
      <c r="HE65" s="306"/>
      <c r="HF65" s="306"/>
      <c r="HG65" s="306"/>
      <c r="HH65" s="306"/>
      <c r="HI65" s="306"/>
      <c r="HJ65" s="306"/>
      <c r="HK65" s="306"/>
      <c r="HL65" s="306"/>
      <c r="HM65" s="306"/>
      <c r="HN65" s="306"/>
      <c r="HO65" s="306"/>
      <c r="HP65" s="306"/>
      <c r="HQ65" s="306"/>
      <c r="HR65" s="306"/>
      <c r="HS65" s="306"/>
      <c r="HT65" s="306"/>
      <c r="HU65" s="306"/>
      <c r="HV65" s="306"/>
      <c r="HW65" s="306"/>
      <c r="HX65" s="306"/>
      <c r="HY65" s="306"/>
      <c r="HZ65" s="306"/>
      <c r="IA65" s="306"/>
      <c r="IB65" s="306"/>
      <c r="IC65" s="306"/>
      <c r="ID65" s="306"/>
      <c r="IE65" s="306"/>
    </row>
    <row r="66" spans="1:239" s="127" customFormat="1" ht="34.5" customHeight="1">
      <c r="A66" s="307">
        <v>51</v>
      </c>
      <c r="B66" s="357">
        <v>42913</v>
      </c>
      <c r="C66" s="307" t="s">
        <v>517</v>
      </c>
      <c r="D66" s="307" t="s">
        <v>571</v>
      </c>
      <c r="E66" s="307">
        <v>10</v>
      </c>
      <c r="F66" s="355" t="s">
        <v>711</v>
      </c>
      <c r="G66" s="307" t="s">
        <v>522</v>
      </c>
      <c r="H66" s="307">
        <v>4.25</v>
      </c>
      <c r="I66" s="307">
        <v>6</v>
      </c>
      <c r="J66" s="307">
        <v>134.94</v>
      </c>
      <c r="K66" s="307">
        <v>1</v>
      </c>
      <c r="L66" s="347"/>
      <c r="M66" s="346">
        <f t="shared" si="2"/>
        <v>25.5</v>
      </c>
      <c r="N66" s="346">
        <f t="shared" si="3"/>
        <v>573.495</v>
      </c>
      <c r="O66" s="34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6"/>
      <c r="EL66" s="306"/>
      <c r="EM66" s="306"/>
      <c r="EN66" s="306"/>
      <c r="EO66" s="306"/>
      <c r="EP66" s="306"/>
      <c r="EQ66" s="306"/>
      <c r="ER66" s="306"/>
      <c r="ES66" s="306"/>
      <c r="ET66" s="306"/>
      <c r="EU66" s="306"/>
      <c r="EV66" s="306"/>
      <c r="EW66" s="306"/>
      <c r="EX66" s="306"/>
      <c r="EY66" s="306"/>
      <c r="EZ66" s="306"/>
      <c r="FA66" s="306"/>
      <c r="FB66" s="306"/>
      <c r="FC66" s="306"/>
      <c r="FD66" s="306"/>
      <c r="FE66" s="306"/>
      <c r="FF66" s="306"/>
      <c r="FG66" s="306"/>
      <c r="FH66" s="306"/>
      <c r="FI66" s="306"/>
      <c r="FJ66" s="306"/>
      <c r="FK66" s="306"/>
      <c r="FL66" s="306"/>
      <c r="FM66" s="306"/>
      <c r="FN66" s="306"/>
      <c r="FO66" s="306"/>
      <c r="FP66" s="306"/>
      <c r="FQ66" s="306"/>
      <c r="FR66" s="306"/>
      <c r="FS66" s="306"/>
      <c r="FT66" s="306"/>
      <c r="FU66" s="306"/>
      <c r="FV66" s="306"/>
      <c r="FW66" s="306"/>
      <c r="FX66" s="306"/>
      <c r="FY66" s="306"/>
      <c r="FZ66" s="306"/>
      <c r="GA66" s="306"/>
      <c r="GB66" s="306"/>
      <c r="GC66" s="306"/>
      <c r="GD66" s="306"/>
      <c r="GE66" s="306"/>
      <c r="GF66" s="306"/>
      <c r="GG66" s="306"/>
      <c r="GH66" s="306"/>
      <c r="GI66" s="306"/>
      <c r="GJ66" s="306"/>
      <c r="GK66" s="306"/>
      <c r="GL66" s="306"/>
      <c r="GM66" s="306"/>
      <c r="GN66" s="306"/>
      <c r="GO66" s="306"/>
      <c r="GP66" s="306"/>
      <c r="GQ66" s="306"/>
      <c r="GR66" s="306"/>
      <c r="GS66" s="306"/>
      <c r="GT66" s="306"/>
      <c r="GU66" s="306"/>
      <c r="GV66" s="306"/>
      <c r="GW66" s="306"/>
      <c r="GX66" s="306"/>
      <c r="GY66" s="306"/>
      <c r="GZ66" s="306"/>
      <c r="HA66" s="306"/>
      <c r="HB66" s="306"/>
      <c r="HC66" s="306"/>
      <c r="HD66" s="306"/>
      <c r="HE66" s="306"/>
      <c r="HF66" s="306"/>
      <c r="HG66" s="306"/>
      <c r="HH66" s="306"/>
      <c r="HI66" s="306"/>
      <c r="HJ66" s="306"/>
      <c r="HK66" s="306"/>
      <c r="HL66" s="306"/>
      <c r="HM66" s="306"/>
      <c r="HN66" s="306"/>
      <c r="HO66" s="306"/>
      <c r="HP66" s="306"/>
      <c r="HQ66" s="306"/>
      <c r="HR66" s="306"/>
      <c r="HS66" s="306"/>
      <c r="HT66" s="306"/>
      <c r="HU66" s="306"/>
      <c r="HV66" s="306"/>
      <c r="HW66" s="306"/>
      <c r="HX66" s="306"/>
      <c r="HY66" s="306"/>
      <c r="HZ66" s="306"/>
      <c r="IA66" s="306"/>
      <c r="IB66" s="306"/>
      <c r="IC66" s="306"/>
      <c r="ID66" s="306"/>
      <c r="IE66" s="306"/>
    </row>
    <row r="67" spans="1:239" s="127" customFormat="1" ht="34.5" customHeight="1">
      <c r="A67" s="307">
        <v>52</v>
      </c>
      <c r="B67" s="357">
        <v>42915</v>
      </c>
      <c r="C67" s="307" t="s">
        <v>517</v>
      </c>
      <c r="D67" s="307" t="s">
        <v>572</v>
      </c>
      <c r="E67" s="307">
        <v>10</v>
      </c>
      <c r="F67" s="355" t="s">
        <v>711</v>
      </c>
      <c r="G67" s="307" t="s">
        <v>522</v>
      </c>
      <c r="H67" s="307">
        <v>2.5</v>
      </c>
      <c r="I67" s="307">
        <v>1</v>
      </c>
      <c r="J67" s="307">
        <v>52.73</v>
      </c>
      <c r="K67" s="307">
        <v>1</v>
      </c>
      <c r="L67" s="347"/>
      <c r="M67" s="346">
        <f t="shared" si="2"/>
        <v>2.5</v>
      </c>
      <c r="N67" s="346">
        <f t="shared" si="3"/>
        <v>131.825</v>
      </c>
      <c r="O67" s="34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306"/>
      <c r="FL67" s="306"/>
      <c r="FM67" s="306"/>
      <c r="FN67" s="306"/>
      <c r="FO67" s="306"/>
      <c r="FP67" s="306"/>
      <c r="FQ67" s="306"/>
      <c r="FR67" s="306"/>
      <c r="FS67" s="306"/>
      <c r="FT67" s="306"/>
      <c r="FU67" s="306"/>
      <c r="FV67" s="306"/>
      <c r="FW67" s="306"/>
      <c r="FX67" s="306"/>
      <c r="FY67" s="306"/>
      <c r="FZ67" s="306"/>
      <c r="GA67" s="306"/>
      <c r="GB67" s="306"/>
      <c r="GC67" s="306"/>
      <c r="GD67" s="306"/>
      <c r="GE67" s="306"/>
      <c r="GF67" s="306"/>
      <c r="GG67" s="306"/>
      <c r="GH67" s="306"/>
      <c r="GI67" s="306"/>
      <c r="GJ67" s="306"/>
      <c r="GK67" s="306"/>
      <c r="GL67" s="306"/>
      <c r="GM67" s="306"/>
      <c r="GN67" s="306"/>
      <c r="GO67" s="306"/>
      <c r="GP67" s="306"/>
      <c r="GQ67" s="306"/>
      <c r="GR67" s="306"/>
      <c r="GS67" s="306"/>
      <c r="GT67" s="306"/>
      <c r="GU67" s="306"/>
      <c r="GV67" s="306"/>
      <c r="GW67" s="306"/>
      <c r="GX67" s="306"/>
      <c r="GY67" s="306"/>
      <c r="GZ67" s="306"/>
      <c r="HA67" s="306"/>
      <c r="HB67" s="306"/>
      <c r="HC67" s="306"/>
      <c r="HD67" s="306"/>
      <c r="HE67" s="306"/>
      <c r="HF67" s="306"/>
      <c r="HG67" s="306"/>
      <c r="HH67" s="306"/>
      <c r="HI67" s="306"/>
      <c r="HJ67" s="306"/>
      <c r="HK67" s="306"/>
      <c r="HL67" s="306"/>
      <c r="HM67" s="306"/>
      <c r="HN67" s="306"/>
      <c r="HO67" s="306"/>
      <c r="HP67" s="306"/>
      <c r="HQ67" s="306"/>
      <c r="HR67" s="306"/>
      <c r="HS67" s="306"/>
      <c r="HT67" s="306"/>
      <c r="HU67" s="306"/>
      <c r="HV67" s="306"/>
      <c r="HW67" s="306"/>
      <c r="HX67" s="306"/>
      <c r="HY67" s="306"/>
      <c r="HZ67" s="306"/>
      <c r="IA67" s="306"/>
      <c r="IB67" s="306"/>
      <c r="IC67" s="306"/>
      <c r="ID67" s="306"/>
      <c r="IE67" s="306"/>
    </row>
    <row r="68" spans="1:239" s="127" customFormat="1" ht="34.5" customHeight="1">
      <c r="A68" s="305">
        <v>60</v>
      </c>
      <c r="B68" s="356">
        <v>42920</v>
      </c>
      <c r="C68" s="305" t="s">
        <v>514</v>
      </c>
      <c r="D68" s="305" t="s">
        <v>573</v>
      </c>
      <c r="E68" s="305">
        <v>0.4</v>
      </c>
      <c r="F68" s="350" t="s">
        <v>711</v>
      </c>
      <c r="G68" s="305" t="s">
        <v>522</v>
      </c>
      <c r="H68" s="305">
        <v>4</v>
      </c>
      <c r="I68" s="305">
        <v>5</v>
      </c>
      <c r="J68" s="305">
        <v>30</v>
      </c>
      <c r="K68" s="305">
        <v>1</v>
      </c>
      <c r="L68" s="347"/>
      <c r="M68" s="346">
        <f t="shared" si="2"/>
        <v>20</v>
      </c>
      <c r="N68" s="346">
        <f t="shared" si="3"/>
        <v>120</v>
      </c>
      <c r="O68" s="34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  <c r="CI68" s="306"/>
      <c r="CJ68" s="306"/>
      <c r="CK68" s="306"/>
      <c r="CL68" s="306"/>
      <c r="CM68" s="306"/>
      <c r="CN68" s="306"/>
      <c r="CO68" s="306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6"/>
      <c r="DN68" s="306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6"/>
      <c r="EL68" s="306"/>
      <c r="EM68" s="306"/>
      <c r="EN68" s="306"/>
      <c r="EO68" s="306"/>
      <c r="EP68" s="306"/>
      <c r="EQ68" s="306"/>
      <c r="ER68" s="306"/>
      <c r="ES68" s="306"/>
      <c r="ET68" s="306"/>
      <c r="EU68" s="306"/>
      <c r="EV68" s="306"/>
      <c r="EW68" s="306"/>
      <c r="EX68" s="306"/>
      <c r="EY68" s="306"/>
      <c r="EZ68" s="306"/>
      <c r="FA68" s="306"/>
      <c r="FB68" s="306"/>
      <c r="FC68" s="306"/>
      <c r="FD68" s="306"/>
      <c r="FE68" s="306"/>
      <c r="FF68" s="306"/>
      <c r="FG68" s="306"/>
      <c r="FH68" s="306"/>
      <c r="FI68" s="306"/>
      <c r="FJ68" s="306"/>
      <c r="FK68" s="306"/>
      <c r="FL68" s="306"/>
      <c r="FM68" s="306"/>
      <c r="FN68" s="306"/>
      <c r="FO68" s="306"/>
      <c r="FP68" s="306"/>
      <c r="FQ68" s="306"/>
      <c r="FR68" s="306"/>
      <c r="FS68" s="306"/>
      <c r="FT68" s="306"/>
      <c r="FU68" s="306"/>
      <c r="FV68" s="306"/>
      <c r="FW68" s="306"/>
      <c r="FX68" s="306"/>
      <c r="FY68" s="306"/>
      <c r="FZ68" s="306"/>
      <c r="GA68" s="306"/>
      <c r="GB68" s="306"/>
      <c r="GC68" s="306"/>
      <c r="GD68" s="306"/>
      <c r="GE68" s="306"/>
      <c r="GF68" s="306"/>
      <c r="GG68" s="306"/>
      <c r="GH68" s="306"/>
      <c r="GI68" s="306"/>
      <c r="GJ68" s="306"/>
      <c r="GK68" s="306"/>
      <c r="GL68" s="306"/>
      <c r="GM68" s="306"/>
      <c r="GN68" s="306"/>
      <c r="GO68" s="306"/>
      <c r="GP68" s="306"/>
      <c r="GQ68" s="306"/>
      <c r="GR68" s="306"/>
      <c r="GS68" s="306"/>
      <c r="GT68" s="306"/>
      <c r="GU68" s="306"/>
      <c r="GV68" s="306"/>
      <c r="GW68" s="306"/>
      <c r="GX68" s="306"/>
      <c r="GY68" s="306"/>
      <c r="GZ68" s="306"/>
      <c r="HA68" s="306"/>
      <c r="HB68" s="306"/>
      <c r="HC68" s="306"/>
      <c r="HD68" s="306"/>
      <c r="HE68" s="306"/>
      <c r="HF68" s="306"/>
      <c r="HG68" s="306"/>
      <c r="HH68" s="306"/>
      <c r="HI68" s="306"/>
      <c r="HJ68" s="306"/>
      <c r="HK68" s="306"/>
      <c r="HL68" s="306"/>
      <c r="HM68" s="306"/>
      <c r="HN68" s="306"/>
      <c r="HO68" s="306"/>
      <c r="HP68" s="306"/>
      <c r="HQ68" s="306"/>
      <c r="HR68" s="306"/>
      <c r="HS68" s="306"/>
      <c r="HT68" s="306"/>
      <c r="HU68" s="306"/>
      <c r="HV68" s="306"/>
      <c r="HW68" s="306"/>
      <c r="HX68" s="306"/>
      <c r="HY68" s="306"/>
      <c r="HZ68" s="306"/>
      <c r="IA68" s="306"/>
      <c r="IB68" s="306"/>
      <c r="IC68" s="306"/>
      <c r="ID68" s="306"/>
      <c r="IE68" s="306"/>
    </row>
    <row r="69" spans="1:239" s="127" customFormat="1" ht="34.5" customHeight="1">
      <c r="A69" s="305">
        <v>61</v>
      </c>
      <c r="B69" s="356">
        <v>42922</v>
      </c>
      <c r="C69" s="305" t="s">
        <v>514</v>
      </c>
      <c r="D69" s="305" t="s">
        <v>574</v>
      </c>
      <c r="E69" s="305">
        <v>6</v>
      </c>
      <c r="F69" s="350" t="s">
        <v>711</v>
      </c>
      <c r="G69" s="305" t="s">
        <v>516</v>
      </c>
      <c r="H69" s="305">
        <v>1.67</v>
      </c>
      <c r="I69" s="305">
        <v>31</v>
      </c>
      <c r="J69" s="305">
        <v>656.7</v>
      </c>
      <c r="K69" s="305">
        <v>1</v>
      </c>
      <c r="L69" s="347"/>
      <c r="M69" s="346">
        <f t="shared" si="2"/>
        <v>51.769999999999996</v>
      </c>
      <c r="N69" s="346">
        <f t="shared" si="3"/>
        <v>1096.689</v>
      </c>
      <c r="O69" s="34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  <c r="EN69" s="306"/>
      <c r="EO69" s="306"/>
      <c r="EP69" s="306"/>
      <c r="EQ69" s="306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6"/>
      <c r="FF69" s="306"/>
      <c r="FG69" s="306"/>
      <c r="FH69" s="306"/>
      <c r="FI69" s="306"/>
      <c r="FJ69" s="306"/>
      <c r="FK69" s="306"/>
      <c r="FL69" s="306"/>
      <c r="FM69" s="306"/>
      <c r="FN69" s="306"/>
      <c r="FO69" s="306"/>
      <c r="FP69" s="306"/>
      <c r="FQ69" s="306"/>
      <c r="FR69" s="306"/>
      <c r="FS69" s="306"/>
      <c r="FT69" s="306"/>
      <c r="FU69" s="306"/>
      <c r="FV69" s="306"/>
      <c r="FW69" s="306"/>
      <c r="FX69" s="306"/>
      <c r="FY69" s="306"/>
      <c r="FZ69" s="306"/>
      <c r="GA69" s="306"/>
      <c r="GB69" s="306"/>
      <c r="GC69" s="306"/>
      <c r="GD69" s="306"/>
      <c r="GE69" s="306"/>
      <c r="GF69" s="306"/>
      <c r="GG69" s="306"/>
      <c r="GH69" s="306"/>
      <c r="GI69" s="306"/>
      <c r="GJ69" s="306"/>
      <c r="GK69" s="306"/>
      <c r="GL69" s="306"/>
      <c r="GM69" s="306"/>
      <c r="GN69" s="306"/>
      <c r="GO69" s="306"/>
      <c r="GP69" s="306"/>
      <c r="GQ69" s="306"/>
      <c r="GR69" s="306"/>
      <c r="GS69" s="306"/>
      <c r="GT69" s="306"/>
      <c r="GU69" s="306"/>
      <c r="GV69" s="306"/>
      <c r="GW69" s="306"/>
      <c r="GX69" s="306"/>
      <c r="GY69" s="306"/>
      <c r="GZ69" s="306"/>
      <c r="HA69" s="306"/>
      <c r="HB69" s="306"/>
      <c r="HC69" s="306"/>
      <c r="HD69" s="306"/>
      <c r="HE69" s="306"/>
      <c r="HF69" s="306"/>
      <c r="HG69" s="306"/>
      <c r="HH69" s="306"/>
      <c r="HI69" s="306"/>
      <c r="HJ69" s="306"/>
      <c r="HK69" s="306"/>
      <c r="HL69" s="306"/>
      <c r="HM69" s="306"/>
      <c r="HN69" s="306"/>
      <c r="HO69" s="306"/>
      <c r="HP69" s="306"/>
      <c r="HQ69" s="306"/>
      <c r="HR69" s="306"/>
      <c r="HS69" s="306"/>
      <c r="HT69" s="306"/>
      <c r="HU69" s="306"/>
      <c r="HV69" s="306"/>
      <c r="HW69" s="306"/>
      <c r="HX69" s="306"/>
      <c r="HY69" s="306"/>
      <c r="HZ69" s="306"/>
      <c r="IA69" s="306"/>
      <c r="IB69" s="306"/>
      <c r="IC69" s="306"/>
      <c r="ID69" s="306"/>
      <c r="IE69" s="306"/>
    </row>
    <row r="70" spans="1:239" s="127" customFormat="1" ht="34.5" customHeight="1">
      <c r="A70" s="305">
        <v>62</v>
      </c>
      <c r="B70" s="356">
        <v>42928</v>
      </c>
      <c r="C70" s="305" t="s">
        <v>514</v>
      </c>
      <c r="D70" s="305" t="s">
        <v>575</v>
      </c>
      <c r="E70" s="305">
        <v>0.4</v>
      </c>
      <c r="F70" s="350" t="s">
        <v>711</v>
      </c>
      <c r="G70" s="305" t="s">
        <v>516</v>
      </c>
      <c r="H70" s="305">
        <v>5.92</v>
      </c>
      <c r="I70" s="305">
        <v>3</v>
      </c>
      <c r="J70" s="305">
        <v>54</v>
      </c>
      <c r="K70" s="305">
        <v>1</v>
      </c>
      <c r="L70" s="347"/>
      <c r="M70" s="346">
        <f t="shared" si="2"/>
        <v>17.759999999999998</v>
      </c>
      <c r="N70" s="346">
        <f t="shared" si="3"/>
        <v>319.68</v>
      </c>
      <c r="O70" s="34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06"/>
      <c r="DK70" s="306"/>
      <c r="DL70" s="306"/>
      <c r="DM70" s="306"/>
      <c r="DN70" s="306"/>
      <c r="DO70" s="306"/>
      <c r="DP70" s="306"/>
      <c r="DQ70" s="306"/>
      <c r="DR70" s="306"/>
      <c r="DS70" s="306"/>
      <c r="DT70" s="306"/>
      <c r="DU70" s="306"/>
      <c r="DV70" s="306"/>
      <c r="DW70" s="306"/>
      <c r="DX70" s="306"/>
      <c r="DY70" s="306"/>
      <c r="DZ70" s="306"/>
      <c r="EA70" s="306"/>
      <c r="EB70" s="306"/>
      <c r="EC70" s="306"/>
      <c r="ED70" s="306"/>
      <c r="EE70" s="306"/>
      <c r="EF70" s="306"/>
      <c r="EG70" s="306"/>
      <c r="EH70" s="306"/>
      <c r="EI70" s="306"/>
      <c r="EJ70" s="306"/>
      <c r="EK70" s="306"/>
      <c r="EL70" s="306"/>
      <c r="EM70" s="306"/>
      <c r="EN70" s="306"/>
      <c r="EO70" s="306"/>
      <c r="EP70" s="306"/>
      <c r="EQ70" s="306"/>
      <c r="ER70" s="306"/>
      <c r="ES70" s="306"/>
      <c r="ET70" s="306"/>
      <c r="EU70" s="306"/>
      <c r="EV70" s="306"/>
      <c r="EW70" s="306"/>
      <c r="EX70" s="306"/>
      <c r="EY70" s="306"/>
      <c r="EZ70" s="306"/>
      <c r="FA70" s="306"/>
      <c r="FB70" s="306"/>
      <c r="FC70" s="306"/>
      <c r="FD70" s="306"/>
      <c r="FE70" s="306"/>
      <c r="FF70" s="306"/>
      <c r="FG70" s="306"/>
      <c r="FH70" s="306"/>
      <c r="FI70" s="306"/>
      <c r="FJ70" s="306"/>
      <c r="FK70" s="306"/>
      <c r="FL70" s="306"/>
      <c r="FM70" s="306"/>
      <c r="FN70" s="306"/>
      <c r="FO70" s="306"/>
      <c r="FP70" s="306"/>
      <c r="FQ70" s="306"/>
      <c r="FR70" s="306"/>
      <c r="FS70" s="306"/>
      <c r="FT70" s="306"/>
      <c r="FU70" s="306"/>
      <c r="FV70" s="306"/>
      <c r="FW70" s="306"/>
      <c r="FX70" s="306"/>
      <c r="FY70" s="306"/>
      <c r="FZ70" s="306"/>
      <c r="GA70" s="306"/>
      <c r="GB70" s="306"/>
      <c r="GC70" s="306"/>
      <c r="GD70" s="306"/>
      <c r="GE70" s="306"/>
      <c r="GF70" s="306"/>
      <c r="GG70" s="306"/>
      <c r="GH70" s="306"/>
      <c r="GI70" s="306"/>
      <c r="GJ70" s="306"/>
      <c r="GK70" s="306"/>
      <c r="GL70" s="306"/>
      <c r="GM70" s="306"/>
      <c r="GN70" s="306"/>
      <c r="GO70" s="306"/>
      <c r="GP70" s="306"/>
      <c r="GQ70" s="306"/>
      <c r="GR70" s="306"/>
      <c r="GS70" s="306"/>
      <c r="GT70" s="306"/>
      <c r="GU70" s="306"/>
      <c r="GV70" s="306"/>
      <c r="GW70" s="306"/>
      <c r="GX70" s="306"/>
      <c r="GY70" s="306"/>
      <c r="GZ70" s="306"/>
      <c r="HA70" s="306"/>
      <c r="HB70" s="306"/>
      <c r="HC70" s="306"/>
      <c r="HD70" s="306"/>
      <c r="HE70" s="306"/>
      <c r="HF70" s="306"/>
      <c r="HG70" s="306"/>
      <c r="HH70" s="306"/>
      <c r="HI70" s="306"/>
      <c r="HJ70" s="306"/>
      <c r="HK70" s="306"/>
      <c r="HL70" s="306"/>
      <c r="HM70" s="306"/>
      <c r="HN70" s="306"/>
      <c r="HO70" s="306"/>
      <c r="HP70" s="306"/>
      <c r="HQ70" s="306"/>
      <c r="HR70" s="306"/>
      <c r="HS70" s="306"/>
      <c r="HT70" s="306"/>
      <c r="HU70" s="306"/>
      <c r="HV70" s="306"/>
      <c r="HW70" s="306"/>
      <c r="HX70" s="306"/>
      <c r="HY70" s="306"/>
      <c r="HZ70" s="306"/>
      <c r="IA70" s="306"/>
      <c r="IB70" s="306"/>
      <c r="IC70" s="306"/>
      <c r="ID70" s="306"/>
      <c r="IE70" s="306"/>
    </row>
    <row r="71" spans="1:239" s="127" customFormat="1" ht="34.5" customHeight="1">
      <c r="A71" s="307">
        <v>63</v>
      </c>
      <c r="B71" s="357">
        <v>42930</v>
      </c>
      <c r="C71" s="307" t="s">
        <v>517</v>
      </c>
      <c r="D71" s="307" t="s">
        <v>576</v>
      </c>
      <c r="E71" s="307">
        <v>0.4</v>
      </c>
      <c r="F71" s="355" t="s">
        <v>711</v>
      </c>
      <c r="G71" s="307" t="s">
        <v>522</v>
      </c>
      <c r="H71" s="307">
        <v>5.33</v>
      </c>
      <c r="I71" s="307">
        <v>1</v>
      </c>
      <c r="J71" s="307">
        <v>2.7</v>
      </c>
      <c r="K71" s="307">
        <v>1</v>
      </c>
      <c r="L71" s="347"/>
      <c r="M71" s="346">
        <f t="shared" si="2"/>
        <v>5.33</v>
      </c>
      <c r="N71" s="346">
        <f t="shared" si="3"/>
        <v>14.391000000000002</v>
      </c>
      <c r="O71" s="34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6"/>
      <c r="DP71" s="306"/>
      <c r="DQ71" s="306"/>
      <c r="DR71" s="306"/>
      <c r="DS71" s="306"/>
      <c r="DT71" s="306"/>
      <c r="DU71" s="306"/>
      <c r="DV71" s="306"/>
      <c r="DW71" s="306"/>
      <c r="DX71" s="306"/>
      <c r="DY71" s="306"/>
      <c r="DZ71" s="306"/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6"/>
      <c r="EL71" s="306"/>
      <c r="EM71" s="306"/>
      <c r="EN71" s="306"/>
      <c r="EO71" s="306"/>
      <c r="EP71" s="306"/>
      <c r="EQ71" s="306"/>
      <c r="ER71" s="306"/>
      <c r="ES71" s="306"/>
      <c r="ET71" s="306"/>
      <c r="EU71" s="306"/>
      <c r="EV71" s="306"/>
      <c r="EW71" s="306"/>
      <c r="EX71" s="306"/>
      <c r="EY71" s="306"/>
      <c r="EZ71" s="306"/>
      <c r="FA71" s="306"/>
      <c r="FB71" s="306"/>
      <c r="FC71" s="306"/>
      <c r="FD71" s="306"/>
      <c r="FE71" s="306"/>
      <c r="FF71" s="306"/>
      <c r="FG71" s="306"/>
      <c r="FH71" s="306"/>
      <c r="FI71" s="306"/>
      <c r="FJ71" s="306"/>
      <c r="FK71" s="306"/>
      <c r="FL71" s="306"/>
      <c r="FM71" s="306"/>
      <c r="FN71" s="306"/>
      <c r="FO71" s="306"/>
      <c r="FP71" s="306"/>
      <c r="FQ71" s="306"/>
      <c r="FR71" s="306"/>
      <c r="FS71" s="306"/>
      <c r="FT71" s="306"/>
      <c r="FU71" s="306"/>
      <c r="FV71" s="306"/>
      <c r="FW71" s="306"/>
      <c r="FX71" s="306"/>
      <c r="FY71" s="306"/>
      <c r="FZ71" s="306"/>
      <c r="GA71" s="306"/>
      <c r="GB71" s="306"/>
      <c r="GC71" s="306"/>
      <c r="GD71" s="306"/>
      <c r="GE71" s="306"/>
      <c r="GF71" s="306"/>
      <c r="GG71" s="306"/>
      <c r="GH71" s="306"/>
      <c r="GI71" s="306"/>
      <c r="GJ71" s="306"/>
      <c r="GK71" s="306"/>
      <c r="GL71" s="306"/>
      <c r="GM71" s="306"/>
      <c r="GN71" s="306"/>
      <c r="GO71" s="306"/>
      <c r="GP71" s="306"/>
      <c r="GQ71" s="306"/>
      <c r="GR71" s="306"/>
      <c r="GS71" s="306"/>
      <c r="GT71" s="306"/>
      <c r="GU71" s="306"/>
      <c r="GV71" s="306"/>
      <c r="GW71" s="306"/>
      <c r="GX71" s="306"/>
      <c r="GY71" s="306"/>
      <c r="GZ71" s="306"/>
      <c r="HA71" s="306"/>
      <c r="HB71" s="306"/>
      <c r="HC71" s="306"/>
      <c r="HD71" s="306"/>
      <c r="HE71" s="306"/>
      <c r="HF71" s="306"/>
      <c r="HG71" s="306"/>
      <c r="HH71" s="306"/>
      <c r="HI71" s="306"/>
      <c r="HJ71" s="306"/>
      <c r="HK71" s="306"/>
      <c r="HL71" s="306"/>
      <c r="HM71" s="306"/>
      <c r="HN71" s="306"/>
      <c r="HO71" s="306"/>
      <c r="HP71" s="306"/>
      <c r="HQ71" s="306"/>
      <c r="HR71" s="306"/>
      <c r="HS71" s="306"/>
      <c r="HT71" s="306"/>
      <c r="HU71" s="306"/>
      <c r="HV71" s="306"/>
      <c r="HW71" s="306"/>
      <c r="HX71" s="306"/>
      <c r="HY71" s="306"/>
      <c r="HZ71" s="306"/>
      <c r="IA71" s="306"/>
      <c r="IB71" s="306"/>
      <c r="IC71" s="306"/>
      <c r="ID71" s="306"/>
      <c r="IE71" s="306"/>
    </row>
    <row r="72" spans="1:239" s="127" customFormat="1" ht="34.5" customHeight="1">
      <c r="A72" s="307">
        <v>64</v>
      </c>
      <c r="B72" s="357">
        <v>42930</v>
      </c>
      <c r="C72" s="307" t="s">
        <v>517</v>
      </c>
      <c r="D72" s="307" t="s">
        <v>577</v>
      </c>
      <c r="E72" s="307">
        <v>0.4</v>
      </c>
      <c r="F72" s="355" t="s">
        <v>711</v>
      </c>
      <c r="G72" s="307" t="s">
        <v>522</v>
      </c>
      <c r="H72" s="307">
        <v>4.33</v>
      </c>
      <c r="I72" s="307">
        <v>7</v>
      </c>
      <c r="J72" s="307">
        <v>15.99</v>
      </c>
      <c r="K72" s="307">
        <v>1</v>
      </c>
      <c r="L72" s="347"/>
      <c r="M72" s="346">
        <f t="shared" si="2"/>
        <v>30.310000000000002</v>
      </c>
      <c r="N72" s="346">
        <f t="shared" si="3"/>
        <v>69.2367</v>
      </c>
      <c r="O72" s="34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6"/>
      <c r="FK72" s="306"/>
      <c r="FL72" s="306"/>
      <c r="FM72" s="306"/>
      <c r="FN72" s="306"/>
      <c r="FO72" s="306"/>
      <c r="FP72" s="306"/>
      <c r="FQ72" s="306"/>
      <c r="FR72" s="306"/>
      <c r="FS72" s="306"/>
      <c r="FT72" s="306"/>
      <c r="FU72" s="306"/>
      <c r="FV72" s="306"/>
      <c r="FW72" s="306"/>
      <c r="FX72" s="306"/>
      <c r="FY72" s="306"/>
      <c r="FZ72" s="306"/>
      <c r="GA72" s="306"/>
      <c r="GB72" s="306"/>
      <c r="GC72" s="306"/>
      <c r="GD72" s="306"/>
      <c r="GE72" s="306"/>
      <c r="GF72" s="306"/>
      <c r="GG72" s="306"/>
      <c r="GH72" s="306"/>
      <c r="GI72" s="306"/>
      <c r="GJ72" s="306"/>
      <c r="GK72" s="306"/>
      <c r="GL72" s="306"/>
      <c r="GM72" s="306"/>
      <c r="GN72" s="306"/>
      <c r="GO72" s="306"/>
      <c r="GP72" s="306"/>
      <c r="GQ72" s="306"/>
      <c r="GR72" s="306"/>
      <c r="GS72" s="306"/>
      <c r="GT72" s="306"/>
      <c r="GU72" s="306"/>
      <c r="GV72" s="306"/>
      <c r="GW72" s="306"/>
      <c r="GX72" s="306"/>
      <c r="GY72" s="306"/>
      <c r="GZ72" s="306"/>
      <c r="HA72" s="306"/>
      <c r="HB72" s="306"/>
      <c r="HC72" s="306"/>
      <c r="HD72" s="306"/>
      <c r="HE72" s="306"/>
      <c r="HF72" s="306"/>
      <c r="HG72" s="306"/>
      <c r="HH72" s="306"/>
      <c r="HI72" s="306"/>
      <c r="HJ72" s="306"/>
      <c r="HK72" s="306"/>
      <c r="HL72" s="306"/>
      <c r="HM72" s="306"/>
      <c r="HN72" s="306"/>
      <c r="HO72" s="306"/>
      <c r="HP72" s="306"/>
      <c r="HQ72" s="306"/>
      <c r="HR72" s="306"/>
      <c r="HS72" s="306"/>
      <c r="HT72" s="306"/>
      <c r="HU72" s="306"/>
      <c r="HV72" s="306"/>
      <c r="HW72" s="306"/>
      <c r="HX72" s="306"/>
      <c r="HY72" s="306"/>
      <c r="HZ72" s="306"/>
      <c r="IA72" s="306"/>
      <c r="IB72" s="306"/>
      <c r="IC72" s="306"/>
      <c r="ID72" s="306"/>
      <c r="IE72" s="306"/>
    </row>
    <row r="73" spans="1:239" s="127" customFormat="1" ht="34.5" customHeight="1">
      <c r="A73" s="307">
        <v>65</v>
      </c>
      <c r="B73" s="357">
        <v>42933</v>
      </c>
      <c r="C73" s="307" t="s">
        <v>517</v>
      </c>
      <c r="D73" s="307" t="s">
        <v>578</v>
      </c>
      <c r="E73" s="307">
        <v>6</v>
      </c>
      <c r="F73" s="355" t="s">
        <v>711</v>
      </c>
      <c r="G73" s="307" t="s">
        <v>522</v>
      </c>
      <c r="H73" s="307">
        <v>4.92</v>
      </c>
      <c r="I73" s="307">
        <v>14</v>
      </c>
      <c r="J73" s="307">
        <v>309.2</v>
      </c>
      <c r="K73" s="307">
        <v>1</v>
      </c>
      <c r="L73" s="347"/>
      <c r="M73" s="346">
        <f aca="true" t="shared" si="4" ref="M73:M104">H73*I73</f>
        <v>68.88</v>
      </c>
      <c r="N73" s="346">
        <f aca="true" t="shared" si="5" ref="N73:N104">H73*J73</f>
        <v>1521.264</v>
      </c>
      <c r="O73" s="34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  <c r="EN73" s="306"/>
      <c r="EO73" s="306"/>
      <c r="EP73" s="306"/>
      <c r="EQ73" s="306"/>
      <c r="ER73" s="306"/>
      <c r="ES73" s="306"/>
      <c r="ET73" s="306"/>
      <c r="EU73" s="306"/>
      <c r="EV73" s="306"/>
      <c r="EW73" s="306"/>
      <c r="EX73" s="306"/>
      <c r="EY73" s="306"/>
      <c r="EZ73" s="306"/>
      <c r="FA73" s="306"/>
      <c r="FB73" s="306"/>
      <c r="FC73" s="306"/>
      <c r="FD73" s="306"/>
      <c r="FE73" s="306"/>
      <c r="FF73" s="306"/>
      <c r="FG73" s="306"/>
      <c r="FH73" s="306"/>
      <c r="FI73" s="306"/>
      <c r="FJ73" s="306"/>
      <c r="FK73" s="306"/>
      <c r="FL73" s="306"/>
      <c r="FM73" s="306"/>
      <c r="FN73" s="306"/>
      <c r="FO73" s="306"/>
      <c r="FP73" s="306"/>
      <c r="FQ73" s="306"/>
      <c r="FR73" s="306"/>
      <c r="FS73" s="306"/>
      <c r="FT73" s="306"/>
      <c r="FU73" s="306"/>
      <c r="FV73" s="306"/>
      <c r="FW73" s="306"/>
      <c r="FX73" s="306"/>
      <c r="FY73" s="306"/>
      <c r="FZ73" s="306"/>
      <c r="GA73" s="306"/>
      <c r="GB73" s="306"/>
      <c r="GC73" s="306"/>
      <c r="GD73" s="306"/>
      <c r="GE73" s="306"/>
      <c r="GF73" s="306"/>
      <c r="GG73" s="306"/>
      <c r="GH73" s="306"/>
      <c r="GI73" s="306"/>
      <c r="GJ73" s="306"/>
      <c r="GK73" s="306"/>
      <c r="GL73" s="306"/>
      <c r="GM73" s="306"/>
      <c r="GN73" s="306"/>
      <c r="GO73" s="306"/>
      <c r="GP73" s="306"/>
      <c r="GQ73" s="306"/>
      <c r="GR73" s="306"/>
      <c r="GS73" s="306"/>
      <c r="GT73" s="306"/>
      <c r="GU73" s="306"/>
      <c r="GV73" s="306"/>
      <c r="GW73" s="306"/>
      <c r="GX73" s="306"/>
      <c r="GY73" s="306"/>
      <c r="GZ73" s="306"/>
      <c r="HA73" s="306"/>
      <c r="HB73" s="306"/>
      <c r="HC73" s="306"/>
      <c r="HD73" s="306"/>
      <c r="HE73" s="306"/>
      <c r="HF73" s="306"/>
      <c r="HG73" s="306"/>
      <c r="HH73" s="306"/>
      <c r="HI73" s="306"/>
      <c r="HJ73" s="306"/>
      <c r="HK73" s="306"/>
      <c r="HL73" s="306"/>
      <c r="HM73" s="306"/>
      <c r="HN73" s="306"/>
      <c r="HO73" s="306"/>
      <c r="HP73" s="306"/>
      <c r="HQ73" s="306"/>
      <c r="HR73" s="306"/>
      <c r="HS73" s="306"/>
      <c r="HT73" s="306"/>
      <c r="HU73" s="306"/>
      <c r="HV73" s="306"/>
      <c r="HW73" s="306"/>
      <c r="HX73" s="306"/>
      <c r="HY73" s="306"/>
      <c r="HZ73" s="306"/>
      <c r="IA73" s="306"/>
      <c r="IB73" s="306"/>
      <c r="IC73" s="306"/>
      <c r="ID73" s="306"/>
      <c r="IE73" s="306"/>
    </row>
    <row r="74" spans="1:239" s="127" customFormat="1" ht="19.5" customHeight="1">
      <c r="A74" s="307">
        <v>66</v>
      </c>
      <c r="B74" s="357">
        <v>42933</v>
      </c>
      <c r="C74" s="307" t="s">
        <v>517</v>
      </c>
      <c r="D74" s="307" t="s">
        <v>579</v>
      </c>
      <c r="E74" s="307">
        <v>6</v>
      </c>
      <c r="F74" s="355" t="s">
        <v>711</v>
      </c>
      <c r="G74" s="307" t="s">
        <v>522</v>
      </c>
      <c r="H74" s="307">
        <v>4.92</v>
      </c>
      <c r="I74" s="307">
        <v>11</v>
      </c>
      <c r="J74" s="307">
        <v>167</v>
      </c>
      <c r="K74" s="307">
        <v>1</v>
      </c>
      <c r="L74" s="347"/>
      <c r="M74" s="346">
        <f t="shared" si="4"/>
        <v>54.12</v>
      </c>
      <c r="N74" s="346">
        <f t="shared" si="5"/>
        <v>821.64</v>
      </c>
      <c r="O74" s="34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306"/>
      <c r="BR74" s="306"/>
      <c r="BS74" s="306"/>
      <c r="BT74" s="306"/>
      <c r="BU74" s="306"/>
      <c r="BV74" s="306"/>
      <c r="BW74" s="306"/>
      <c r="BX74" s="306"/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  <c r="CI74" s="306"/>
      <c r="CJ74" s="306"/>
      <c r="CK74" s="306"/>
      <c r="CL74" s="306"/>
      <c r="CM74" s="306"/>
      <c r="CN74" s="306"/>
      <c r="CO74" s="306"/>
      <c r="CP74" s="306"/>
      <c r="CQ74" s="306"/>
      <c r="CR74" s="306"/>
      <c r="CS74" s="306"/>
      <c r="CT74" s="306"/>
      <c r="CU74" s="306"/>
      <c r="CV74" s="306"/>
      <c r="CW74" s="306"/>
      <c r="CX74" s="306"/>
      <c r="CY74" s="306"/>
      <c r="CZ74" s="306"/>
      <c r="DA74" s="306"/>
      <c r="DB74" s="306"/>
      <c r="DC74" s="306"/>
      <c r="DD74" s="306"/>
      <c r="DE74" s="306"/>
      <c r="DF74" s="306"/>
      <c r="DG74" s="306"/>
      <c r="DH74" s="306"/>
      <c r="DI74" s="306"/>
      <c r="DJ74" s="306"/>
      <c r="DK74" s="306"/>
      <c r="DL74" s="306"/>
      <c r="DM74" s="306"/>
      <c r="DN74" s="306"/>
      <c r="DO74" s="306"/>
      <c r="DP74" s="306"/>
      <c r="DQ74" s="306"/>
      <c r="DR74" s="306"/>
      <c r="DS74" s="306"/>
      <c r="DT74" s="306"/>
      <c r="DU74" s="306"/>
      <c r="DV74" s="306"/>
      <c r="DW74" s="306"/>
      <c r="DX74" s="306"/>
      <c r="DY74" s="306"/>
      <c r="DZ74" s="306"/>
      <c r="EA74" s="306"/>
      <c r="EB74" s="306"/>
      <c r="EC74" s="306"/>
      <c r="ED74" s="306"/>
      <c r="EE74" s="306"/>
      <c r="EF74" s="306"/>
      <c r="EG74" s="306"/>
      <c r="EH74" s="306"/>
      <c r="EI74" s="306"/>
      <c r="EJ74" s="306"/>
      <c r="EK74" s="306"/>
      <c r="EL74" s="306"/>
      <c r="EM74" s="306"/>
      <c r="EN74" s="306"/>
      <c r="EO74" s="306"/>
      <c r="EP74" s="306"/>
      <c r="EQ74" s="306"/>
      <c r="ER74" s="306"/>
      <c r="ES74" s="306"/>
      <c r="ET74" s="306"/>
      <c r="EU74" s="306"/>
      <c r="EV74" s="306"/>
      <c r="EW74" s="306"/>
      <c r="EX74" s="306"/>
      <c r="EY74" s="306"/>
      <c r="EZ74" s="306"/>
      <c r="FA74" s="306"/>
      <c r="FB74" s="306"/>
      <c r="FC74" s="306"/>
      <c r="FD74" s="306"/>
      <c r="FE74" s="306"/>
      <c r="FF74" s="306"/>
      <c r="FG74" s="306"/>
      <c r="FH74" s="306"/>
      <c r="FI74" s="306"/>
      <c r="FJ74" s="306"/>
      <c r="FK74" s="306"/>
      <c r="FL74" s="306"/>
      <c r="FM74" s="306"/>
      <c r="FN74" s="306"/>
      <c r="FO74" s="306"/>
      <c r="FP74" s="306"/>
      <c r="FQ74" s="306"/>
      <c r="FR74" s="306"/>
      <c r="FS74" s="306"/>
      <c r="FT74" s="306"/>
      <c r="FU74" s="306"/>
      <c r="FV74" s="306"/>
      <c r="FW74" s="306"/>
      <c r="FX74" s="306"/>
      <c r="FY74" s="306"/>
      <c r="FZ74" s="306"/>
      <c r="GA74" s="306"/>
      <c r="GB74" s="306"/>
      <c r="GC74" s="306"/>
      <c r="GD74" s="306"/>
      <c r="GE74" s="306"/>
      <c r="GF74" s="306"/>
      <c r="GG74" s="306"/>
      <c r="GH74" s="306"/>
      <c r="GI74" s="306"/>
      <c r="GJ74" s="306"/>
      <c r="GK74" s="306"/>
      <c r="GL74" s="306"/>
      <c r="GM74" s="306"/>
      <c r="GN74" s="306"/>
      <c r="GO74" s="306"/>
      <c r="GP74" s="306"/>
      <c r="GQ74" s="306"/>
      <c r="GR74" s="306"/>
      <c r="GS74" s="306"/>
      <c r="GT74" s="306"/>
      <c r="GU74" s="306"/>
      <c r="GV74" s="306"/>
      <c r="GW74" s="306"/>
      <c r="GX74" s="306"/>
      <c r="GY74" s="306"/>
      <c r="GZ74" s="306"/>
      <c r="HA74" s="306"/>
      <c r="HB74" s="306"/>
      <c r="HC74" s="306"/>
      <c r="HD74" s="306"/>
      <c r="HE74" s="306"/>
      <c r="HF74" s="306"/>
      <c r="HG74" s="306"/>
      <c r="HH74" s="306"/>
      <c r="HI74" s="306"/>
      <c r="HJ74" s="306"/>
      <c r="HK74" s="306"/>
      <c r="HL74" s="306"/>
      <c r="HM74" s="306"/>
      <c r="HN74" s="306"/>
      <c r="HO74" s="306"/>
      <c r="HP74" s="306"/>
      <c r="HQ74" s="306"/>
      <c r="HR74" s="306"/>
      <c r="HS74" s="306"/>
      <c r="HT74" s="306"/>
      <c r="HU74" s="306"/>
      <c r="HV74" s="306"/>
      <c r="HW74" s="306"/>
      <c r="HX74" s="306"/>
      <c r="HY74" s="306"/>
      <c r="HZ74" s="306"/>
      <c r="IA74" s="306"/>
      <c r="IB74" s="306"/>
      <c r="IC74" s="306"/>
      <c r="ID74" s="306"/>
      <c r="IE74" s="306"/>
    </row>
    <row r="75" spans="1:239" s="127" customFormat="1" ht="25.5">
      <c r="A75" s="307">
        <v>67</v>
      </c>
      <c r="B75" s="357">
        <v>42934</v>
      </c>
      <c r="C75" s="307" t="s">
        <v>517</v>
      </c>
      <c r="D75" s="307" t="s">
        <v>580</v>
      </c>
      <c r="E75" s="307">
        <v>10</v>
      </c>
      <c r="F75" s="355" t="s">
        <v>711</v>
      </c>
      <c r="G75" s="307" t="s">
        <v>522</v>
      </c>
      <c r="H75" s="307">
        <v>6.08</v>
      </c>
      <c r="I75" s="307">
        <v>6</v>
      </c>
      <c r="J75" s="307">
        <v>47.34</v>
      </c>
      <c r="K75" s="307">
        <v>1</v>
      </c>
      <c r="L75" s="347"/>
      <c r="M75" s="346">
        <f t="shared" si="4"/>
        <v>36.480000000000004</v>
      </c>
      <c r="N75" s="346">
        <f t="shared" si="5"/>
        <v>287.8272</v>
      </c>
      <c r="O75" s="34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6"/>
      <c r="CM75" s="306"/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/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306"/>
      <c r="DR75" s="306"/>
      <c r="DS75" s="306"/>
      <c r="DT75" s="306"/>
      <c r="DU75" s="306"/>
      <c r="DV75" s="306"/>
      <c r="DW75" s="306"/>
      <c r="DX75" s="306"/>
      <c r="DY75" s="306"/>
      <c r="DZ75" s="306"/>
      <c r="EA75" s="306"/>
      <c r="EB75" s="306"/>
      <c r="EC75" s="306"/>
      <c r="ED75" s="306"/>
      <c r="EE75" s="306"/>
      <c r="EF75" s="306"/>
      <c r="EG75" s="306"/>
      <c r="EH75" s="306"/>
      <c r="EI75" s="306"/>
      <c r="EJ75" s="306"/>
      <c r="EK75" s="306"/>
      <c r="EL75" s="306"/>
      <c r="EM75" s="306"/>
      <c r="EN75" s="306"/>
      <c r="EO75" s="306"/>
      <c r="EP75" s="306"/>
      <c r="EQ75" s="306"/>
      <c r="ER75" s="306"/>
      <c r="ES75" s="306"/>
      <c r="ET75" s="306"/>
      <c r="EU75" s="306"/>
      <c r="EV75" s="306"/>
      <c r="EW75" s="306"/>
      <c r="EX75" s="306"/>
      <c r="EY75" s="306"/>
      <c r="EZ75" s="306"/>
      <c r="FA75" s="306"/>
      <c r="FB75" s="306"/>
      <c r="FC75" s="306"/>
      <c r="FD75" s="306"/>
      <c r="FE75" s="306"/>
      <c r="FF75" s="306"/>
      <c r="FG75" s="306"/>
      <c r="FH75" s="306"/>
      <c r="FI75" s="306"/>
      <c r="FJ75" s="306"/>
      <c r="FK75" s="306"/>
      <c r="FL75" s="306"/>
      <c r="FM75" s="306"/>
      <c r="FN75" s="306"/>
      <c r="FO75" s="306"/>
      <c r="FP75" s="306"/>
      <c r="FQ75" s="306"/>
      <c r="FR75" s="306"/>
      <c r="FS75" s="306"/>
      <c r="FT75" s="306"/>
      <c r="FU75" s="306"/>
      <c r="FV75" s="306"/>
      <c r="FW75" s="306"/>
      <c r="FX75" s="306"/>
      <c r="FY75" s="306"/>
      <c r="FZ75" s="306"/>
      <c r="GA75" s="306"/>
      <c r="GB75" s="306"/>
      <c r="GC75" s="306"/>
      <c r="GD75" s="306"/>
      <c r="GE75" s="306"/>
      <c r="GF75" s="306"/>
      <c r="GG75" s="306"/>
      <c r="GH75" s="306"/>
      <c r="GI75" s="306"/>
      <c r="GJ75" s="306"/>
      <c r="GK75" s="306"/>
      <c r="GL75" s="306"/>
      <c r="GM75" s="306"/>
      <c r="GN75" s="306"/>
      <c r="GO75" s="306"/>
      <c r="GP75" s="306"/>
      <c r="GQ75" s="306"/>
      <c r="GR75" s="306"/>
      <c r="GS75" s="306"/>
      <c r="GT75" s="306"/>
      <c r="GU75" s="306"/>
      <c r="GV75" s="306"/>
      <c r="GW75" s="306"/>
      <c r="GX75" s="306"/>
      <c r="GY75" s="306"/>
      <c r="GZ75" s="306"/>
      <c r="HA75" s="306"/>
      <c r="HB75" s="306"/>
      <c r="HC75" s="306"/>
      <c r="HD75" s="306"/>
      <c r="HE75" s="306"/>
      <c r="HF75" s="306"/>
      <c r="HG75" s="306"/>
      <c r="HH75" s="306"/>
      <c r="HI75" s="306"/>
      <c r="HJ75" s="306"/>
      <c r="HK75" s="306"/>
      <c r="HL75" s="306"/>
      <c r="HM75" s="306"/>
      <c r="HN75" s="306"/>
      <c r="HO75" s="306"/>
      <c r="HP75" s="306"/>
      <c r="HQ75" s="306"/>
      <c r="HR75" s="306"/>
      <c r="HS75" s="306"/>
      <c r="HT75" s="306"/>
      <c r="HU75" s="306"/>
      <c r="HV75" s="306"/>
      <c r="HW75" s="306"/>
      <c r="HX75" s="306"/>
      <c r="HY75" s="306"/>
      <c r="HZ75" s="306"/>
      <c r="IA75" s="306"/>
      <c r="IB75" s="306"/>
      <c r="IC75" s="306"/>
      <c r="ID75" s="306"/>
      <c r="IE75" s="306"/>
    </row>
    <row r="76" spans="1:239" s="127" customFormat="1" ht="25.5">
      <c r="A76" s="307">
        <v>68</v>
      </c>
      <c r="B76" s="357">
        <v>42937</v>
      </c>
      <c r="C76" s="307" t="s">
        <v>517</v>
      </c>
      <c r="D76" s="307" t="s">
        <v>581</v>
      </c>
      <c r="E76" s="307">
        <v>10</v>
      </c>
      <c r="F76" s="355" t="s">
        <v>711</v>
      </c>
      <c r="G76" s="307" t="s">
        <v>522</v>
      </c>
      <c r="H76" s="307">
        <v>7.67</v>
      </c>
      <c r="I76" s="307">
        <v>8</v>
      </c>
      <c r="J76" s="307">
        <v>47.33</v>
      </c>
      <c r="K76" s="307">
        <v>1</v>
      </c>
      <c r="L76" s="347"/>
      <c r="M76" s="346">
        <f t="shared" si="4"/>
        <v>61.36</v>
      </c>
      <c r="N76" s="346">
        <f t="shared" si="5"/>
        <v>363.0211</v>
      </c>
      <c r="O76" s="34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  <c r="BS76" s="306"/>
      <c r="BT76" s="306"/>
      <c r="BU76" s="306"/>
      <c r="BV76" s="306"/>
      <c r="BW76" s="306"/>
      <c r="BX76" s="306"/>
      <c r="BY76" s="306"/>
      <c r="BZ76" s="306"/>
      <c r="CA76" s="306"/>
      <c r="CB76" s="306"/>
      <c r="CC76" s="306"/>
      <c r="CD76" s="306"/>
      <c r="CE76" s="306"/>
      <c r="CF76" s="306"/>
      <c r="CG76" s="306"/>
      <c r="CH76" s="306"/>
      <c r="CI76" s="306"/>
      <c r="CJ76" s="306"/>
      <c r="CK76" s="306"/>
      <c r="CL76" s="306"/>
      <c r="CM76" s="306"/>
      <c r="CN76" s="306"/>
      <c r="CO76" s="306"/>
      <c r="CP76" s="306"/>
      <c r="CQ76" s="306"/>
      <c r="CR76" s="306"/>
      <c r="CS76" s="306"/>
      <c r="CT76" s="306"/>
      <c r="CU76" s="306"/>
      <c r="CV76" s="306"/>
      <c r="CW76" s="306"/>
      <c r="CX76" s="306"/>
      <c r="CY76" s="306"/>
      <c r="CZ76" s="306"/>
      <c r="DA76" s="306"/>
      <c r="DB76" s="306"/>
      <c r="DC76" s="306"/>
      <c r="DD76" s="306"/>
      <c r="DE76" s="306"/>
      <c r="DF76" s="306"/>
      <c r="DG76" s="306"/>
      <c r="DH76" s="306"/>
      <c r="DI76" s="306"/>
      <c r="DJ76" s="306"/>
      <c r="DK76" s="306"/>
      <c r="DL76" s="306"/>
      <c r="DM76" s="306"/>
      <c r="DN76" s="306"/>
      <c r="DO76" s="306"/>
      <c r="DP76" s="306"/>
      <c r="DQ76" s="306"/>
      <c r="DR76" s="306"/>
      <c r="DS76" s="306"/>
      <c r="DT76" s="306"/>
      <c r="DU76" s="306"/>
      <c r="DV76" s="306"/>
      <c r="DW76" s="306"/>
      <c r="DX76" s="306"/>
      <c r="DY76" s="306"/>
      <c r="DZ76" s="306"/>
      <c r="EA76" s="306"/>
      <c r="EB76" s="306"/>
      <c r="EC76" s="306"/>
      <c r="ED76" s="306"/>
      <c r="EE76" s="306"/>
      <c r="EF76" s="306"/>
      <c r="EG76" s="306"/>
      <c r="EH76" s="306"/>
      <c r="EI76" s="306"/>
      <c r="EJ76" s="306"/>
      <c r="EK76" s="306"/>
      <c r="EL76" s="306"/>
      <c r="EM76" s="306"/>
      <c r="EN76" s="306"/>
      <c r="EO76" s="306"/>
      <c r="EP76" s="306"/>
      <c r="EQ76" s="306"/>
      <c r="ER76" s="306"/>
      <c r="ES76" s="306"/>
      <c r="ET76" s="306"/>
      <c r="EU76" s="306"/>
      <c r="EV76" s="306"/>
      <c r="EW76" s="306"/>
      <c r="EX76" s="306"/>
      <c r="EY76" s="306"/>
      <c r="EZ76" s="306"/>
      <c r="FA76" s="306"/>
      <c r="FB76" s="306"/>
      <c r="FC76" s="306"/>
      <c r="FD76" s="306"/>
      <c r="FE76" s="306"/>
      <c r="FF76" s="306"/>
      <c r="FG76" s="306"/>
      <c r="FH76" s="306"/>
      <c r="FI76" s="306"/>
      <c r="FJ76" s="306"/>
      <c r="FK76" s="306"/>
      <c r="FL76" s="306"/>
      <c r="FM76" s="306"/>
      <c r="FN76" s="306"/>
      <c r="FO76" s="306"/>
      <c r="FP76" s="306"/>
      <c r="FQ76" s="306"/>
      <c r="FR76" s="306"/>
      <c r="FS76" s="306"/>
      <c r="FT76" s="306"/>
      <c r="FU76" s="306"/>
      <c r="FV76" s="306"/>
      <c r="FW76" s="306"/>
      <c r="FX76" s="306"/>
      <c r="FY76" s="306"/>
      <c r="FZ76" s="306"/>
      <c r="GA76" s="306"/>
      <c r="GB76" s="306"/>
      <c r="GC76" s="306"/>
      <c r="GD76" s="306"/>
      <c r="GE76" s="306"/>
      <c r="GF76" s="306"/>
      <c r="GG76" s="306"/>
      <c r="GH76" s="306"/>
      <c r="GI76" s="306"/>
      <c r="GJ76" s="306"/>
      <c r="GK76" s="306"/>
      <c r="GL76" s="306"/>
      <c r="GM76" s="306"/>
      <c r="GN76" s="306"/>
      <c r="GO76" s="306"/>
      <c r="GP76" s="306"/>
      <c r="GQ76" s="306"/>
      <c r="GR76" s="306"/>
      <c r="GS76" s="306"/>
      <c r="GT76" s="306"/>
      <c r="GU76" s="306"/>
      <c r="GV76" s="306"/>
      <c r="GW76" s="306"/>
      <c r="GX76" s="306"/>
      <c r="GY76" s="306"/>
      <c r="GZ76" s="306"/>
      <c r="HA76" s="306"/>
      <c r="HB76" s="306"/>
      <c r="HC76" s="306"/>
      <c r="HD76" s="306"/>
      <c r="HE76" s="306"/>
      <c r="HF76" s="306"/>
      <c r="HG76" s="306"/>
      <c r="HH76" s="306"/>
      <c r="HI76" s="306"/>
      <c r="HJ76" s="306"/>
      <c r="HK76" s="306"/>
      <c r="HL76" s="306"/>
      <c r="HM76" s="306"/>
      <c r="HN76" s="306"/>
      <c r="HO76" s="306"/>
      <c r="HP76" s="306"/>
      <c r="HQ76" s="306"/>
      <c r="HR76" s="306"/>
      <c r="HS76" s="306"/>
      <c r="HT76" s="306"/>
      <c r="HU76" s="306"/>
      <c r="HV76" s="306"/>
      <c r="HW76" s="306"/>
      <c r="HX76" s="306"/>
      <c r="HY76" s="306"/>
      <c r="HZ76" s="306"/>
      <c r="IA76" s="306"/>
      <c r="IB76" s="306"/>
      <c r="IC76" s="306"/>
      <c r="ID76" s="306"/>
      <c r="IE76" s="306"/>
    </row>
    <row r="77" spans="1:239" s="127" customFormat="1" ht="25.5">
      <c r="A77" s="307">
        <v>69</v>
      </c>
      <c r="B77" s="357">
        <v>42941</v>
      </c>
      <c r="C77" s="307" t="s">
        <v>517</v>
      </c>
      <c r="D77" s="307" t="s">
        <v>582</v>
      </c>
      <c r="E77" s="307">
        <v>10</v>
      </c>
      <c r="F77" s="355" t="s">
        <v>711</v>
      </c>
      <c r="G77" s="307" t="s">
        <v>522</v>
      </c>
      <c r="H77" s="307">
        <v>6.83</v>
      </c>
      <c r="I77" s="307">
        <v>6</v>
      </c>
      <c r="J77" s="307">
        <v>58.13</v>
      </c>
      <c r="K77" s="307">
        <v>1</v>
      </c>
      <c r="L77" s="347"/>
      <c r="M77" s="346">
        <f t="shared" si="4"/>
        <v>40.980000000000004</v>
      </c>
      <c r="N77" s="346">
        <f t="shared" si="5"/>
        <v>397.02790000000005</v>
      </c>
      <c r="O77" s="34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/>
      <c r="BI77" s="306"/>
      <c r="BJ77" s="306"/>
      <c r="BK77" s="306"/>
      <c r="BL77" s="306"/>
      <c r="BM77" s="306"/>
      <c r="BN77" s="306"/>
      <c r="BO77" s="306"/>
      <c r="BP77" s="306"/>
      <c r="BQ77" s="306"/>
      <c r="BR77" s="306"/>
      <c r="BS77" s="306"/>
      <c r="BT77" s="306"/>
      <c r="BU77" s="306"/>
      <c r="BV77" s="306"/>
      <c r="BW77" s="306"/>
      <c r="BX77" s="306"/>
      <c r="BY77" s="306"/>
      <c r="BZ77" s="306"/>
      <c r="CA77" s="306"/>
      <c r="CB77" s="306"/>
      <c r="CC77" s="306"/>
      <c r="CD77" s="306"/>
      <c r="CE77" s="306"/>
      <c r="CF77" s="306"/>
      <c r="CG77" s="306"/>
      <c r="CH77" s="306"/>
      <c r="CI77" s="306"/>
      <c r="CJ77" s="306"/>
      <c r="CK77" s="306"/>
      <c r="CL77" s="306"/>
      <c r="CM77" s="306"/>
      <c r="CN77" s="306"/>
      <c r="CO77" s="306"/>
      <c r="CP77" s="306"/>
      <c r="CQ77" s="306"/>
      <c r="CR77" s="306"/>
      <c r="CS77" s="30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306"/>
      <c r="FK77" s="306"/>
      <c r="FL77" s="306"/>
      <c r="FM77" s="306"/>
      <c r="FN77" s="306"/>
      <c r="FO77" s="306"/>
      <c r="FP77" s="306"/>
      <c r="FQ77" s="306"/>
      <c r="FR77" s="306"/>
      <c r="FS77" s="306"/>
      <c r="FT77" s="306"/>
      <c r="FU77" s="306"/>
      <c r="FV77" s="306"/>
      <c r="FW77" s="306"/>
      <c r="FX77" s="306"/>
      <c r="FY77" s="306"/>
      <c r="FZ77" s="306"/>
      <c r="GA77" s="306"/>
      <c r="GB77" s="306"/>
      <c r="GC77" s="306"/>
      <c r="GD77" s="306"/>
      <c r="GE77" s="306"/>
      <c r="GF77" s="306"/>
      <c r="GG77" s="306"/>
      <c r="GH77" s="306"/>
      <c r="GI77" s="306"/>
      <c r="GJ77" s="306"/>
      <c r="GK77" s="306"/>
      <c r="GL77" s="306"/>
      <c r="GM77" s="306"/>
      <c r="GN77" s="306"/>
      <c r="GO77" s="306"/>
      <c r="GP77" s="306"/>
      <c r="GQ77" s="306"/>
      <c r="GR77" s="306"/>
      <c r="GS77" s="306"/>
      <c r="GT77" s="306"/>
      <c r="GU77" s="306"/>
      <c r="GV77" s="306"/>
      <c r="GW77" s="306"/>
      <c r="GX77" s="306"/>
      <c r="GY77" s="306"/>
      <c r="GZ77" s="306"/>
      <c r="HA77" s="306"/>
      <c r="HB77" s="306"/>
      <c r="HC77" s="306"/>
      <c r="HD77" s="306"/>
      <c r="HE77" s="306"/>
      <c r="HF77" s="306"/>
      <c r="HG77" s="306"/>
      <c r="HH77" s="306"/>
      <c r="HI77" s="306"/>
      <c r="HJ77" s="306"/>
      <c r="HK77" s="306"/>
      <c r="HL77" s="306"/>
      <c r="HM77" s="306"/>
      <c r="HN77" s="306"/>
      <c r="HO77" s="306"/>
      <c r="HP77" s="306"/>
      <c r="HQ77" s="306"/>
      <c r="HR77" s="306"/>
      <c r="HS77" s="306"/>
      <c r="HT77" s="306"/>
      <c r="HU77" s="306"/>
      <c r="HV77" s="306"/>
      <c r="HW77" s="306"/>
      <c r="HX77" s="306"/>
      <c r="HY77" s="306"/>
      <c r="HZ77" s="306"/>
      <c r="IA77" s="306"/>
      <c r="IB77" s="306"/>
      <c r="IC77" s="306"/>
      <c r="ID77" s="306"/>
      <c r="IE77" s="306"/>
    </row>
    <row r="78" spans="1:239" s="127" customFormat="1" ht="25.5">
      <c r="A78" s="307">
        <v>70</v>
      </c>
      <c r="B78" s="357">
        <v>42942</v>
      </c>
      <c r="C78" s="307" t="s">
        <v>517</v>
      </c>
      <c r="D78" s="307" t="s">
        <v>583</v>
      </c>
      <c r="E78" s="307">
        <v>0.4</v>
      </c>
      <c r="F78" s="355" t="s">
        <v>711</v>
      </c>
      <c r="G78" s="307" t="s">
        <v>522</v>
      </c>
      <c r="H78" s="307">
        <v>6</v>
      </c>
      <c r="I78" s="307">
        <v>5</v>
      </c>
      <c r="J78" s="307">
        <v>4.25</v>
      </c>
      <c r="K78" s="307">
        <v>1</v>
      </c>
      <c r="L78" s="347"/>
      <c r="M78" s="346">
        <f t="shared" si="4"/>
        <v>30</v>
      </c>
      <c r="N78" s="346">
        <f t="shared" si="5"/>
        <v>25.5</v>
      </c>
      <c r="O78" s="34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6"/>
      <c r="DB78" s="306"/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6"/>
      <c r="DP78" s="306"/>
      <c r="DQ78" s="306"/>
      <c r="DR78" s="306"/>
      <c r="DS78" s="306"/>
      <c r="DT78" s="306"/>
      <c r="DU78" s="306"/>
      <c r="DV78" s="306"/>
      <c r="DW78" s="306"/>
      <c r="DX78" s="306"/>
      <c r="DY78" s="306"/>
      <c r="DZ78" s="306"/>
      <c r="EA78" s="306"/>
      <c r="EB78" s="306"/>
      <c r="EC78" s="306"/>
      <c r="ED78" s="306"/>
      <c r="EE78" s="306"/>
      <c r="EF78" s="306"/>
      <c r="EG78" s="306"/>
      <c r="EH78" s="306"/>
      <c r="EI78" s="306"/>
      <c r="EJ78" s="306"/>
      <c r="EK78" s="306"/>
      <c r="EL78" s="306"/>
      <c r="EM78" s="306"/>
      <c r="EN78" s="306"/>
      <c r="EO78" s="306"/>
      <c r="EP78" s="306"/>
      <c r="EQ78" s="306"/>
      <c r="ER78" s="306"/>
      <c r="ES78" s="306"/>
      <c r="ET78" s="306"/>
      <c r="EU78" s="306"/>
      <c r="EV78" s="306"/>
      <c r="EW78" s="306"/>
      <c r="EX78" s="306"/>
      <c r="EY78" s="306"/>
      <c r="EZ78" s="306"/>
      <c r="FA78" s="306"/>
      <c r="FB78" s="306"/>
      <c r="FC78" s="306"/>
      <c r="FD78" s="306"/>
      <c r="FE78" s="306"/>
      <c r="FF78" s="306"/>
      <c r="FG78" s="306"/>
      <c r="FH78" s="306"/>
      <c r="FI78" s="306"/>
      <c r="FJ78" s="306"/>
      <c r="FK78" s="306"/>
      <c r="FL78" s="306"/>
      <c r="FM78" s="306"/>
      <c r="FN78" s="306"/>
      <c r="FO78" s="306"/>
      <c r="FP78" s="306"/>
      <c r="FQ78" s="306"/>
      <c r="FR78" s="306"/>
      <c r="FS78" s="306"/>
      <c r="FT78" s="306"/>
      <c r="FU78" s="306"/>
      <c r="FV78" s="306"/>
      <c r="FW78" s="306"/>
      <c r="FX78" s="306"/>
      <c r="FY78" s="306"/>
      <c r="FZ78" s="306"/>
      <c r="GA78" s="306"/>
      <c r="GB78" s="306"/>
      <c r="GC78" s="306"/>
      <c r="GD78" s="306"/>
      <c r="GE78" s="306"/>
      <c r="GF78" s="306"/>
      <c r="GG78" s="306"/>
      <c r="GH78" s="306"/>
      <c r="GI78" s="306"/>
      <c r="GJ78" s="306"/>
      <c r="GK78" s="306"/>
      <c r="GL78" s="306"/>
      <c r="GM78" s="306"/>
      <c r="GN78" s="306"/>
      <c r="GO78" s="306"/>
      <c r="GP78" s="306"/>
      <c r="GQ78" s="306"/>
      <c r="GR78" s="306"/>
      <c r="GS78" s="306"/>
      <c r="GT78" s="306"/>
      <c r="GU78" s="306"/>
      <c r="GV78" s="306"/>
      <c r="GW78" s="306"/>
      <c r="GX78" s="306"/>
      <c r="GY78" s="306"/>
      <c r="GZ78" s="306"/>
      <c r="HA78" s="306"/>
      <c r="HB78" s="306"/>
      <c r="HC78" s="306"/>
      <c r="HD78" s="306"/>
      <c r="HE78" s="306"/>
      <c r="HF78" s="306"/>
      <c r="HG78" s="306"/>
      <c r="HH78" s="306"/>
      <c r="HI78" s="306"/>
      <c r="HJ78" s="306"/>
      <c r="HK78" s="306"/>
      <c r="HL78" s="306"/>
      <c r="HM78" s="306"/>
      <c r="HN78" s="306"/>
      <c r="HO78" s="306"/>
      <c r="HP78" s="306"/>
      <c r="HQ78" s="306"/>
      <c r="HR78" s="306"/>
      <c r="HS78" s="306"/>
      <c r="HT78" s="306"/>
      <c r="HU78" s="306"/>
      <c r="HV78" s="306"/>
      <c r="HW78" s="306"/>
      <c r="HX78" s="306"/>
      <c r="HY78" s="306"/>
      <c r="HZ78" s="306"/>
      <c r="IA78" s="306"/>
      <c r="IB78" s="306"/>
      <c r="IC78" s="306"/>
      <c r="ID78" s="306"/>
      <c r="IE78" s="306"/>
    </row>
    <row r="79" spans="1:239" s="127" customFormat="1" ht="25.5">
      <c r="A79" s="307">
        <v>71</v>
      </c>
      <c r="B79" s="357">
        <v>42942</v>
      </c>
      <c r="C79" s="307" t="s">
        <v>517</v>
      </c>
      <c r="D79" s="307" t="s">
        <v>584</v>
      </c>
      <c r="E79" s="307">
        <v>0.4</v>
      </c>
      <c r="F79" s="355" t="s">
        <v>711</v>
      </c>
      <c r="G79" s="307" t="s">
        <v>522</v>
      </c>
      <c r="H79" s="307">
        <v>2.92</v>
      </c>
      <c r="I79" s="307">
        <v>1</v>
      </c>
      <c r="J79" s="307">
        <v>14.74</v>
      </c>
      <c r="K79" s="307">
        <v>1</v>
      </c>
      <c r="L79" s="347"/>
      <c r="M79" s="346">
        <f t="shared" si="4"/>
        <v>2.92</v>
      </c>
      <c r="N79" s="346">
        <f t="shared" si="5"/>
        <v>43.0408</v>
      </c>
      <c r="O79" s="34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  <c r="BH79" s="306"/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  <c r="CI79" s="306"/>
      <c r="CJ79" s="306"/>
      <c r="CK79" s="306"/>
      <c r="CL79" s="306"/>
      <c r="CM79" s="306"/>
      <c r="CN79" s="306"/>
      <c r="CO79" s="306"/>
      <c r="CP79" s="306"/>
      <c r="CQ79" s="306"/>
      <c r="CR79" s="306"/>
      <c r="CS79" s="306"/>
      <c r="CT79" s="306"/>
      <c r="CU79" s="306"/>
      <c r="CV79" s="306"/>
      <c r="CW79" s="306"/>
      <c r="CX79" s="306"/>
      <c r="CY79" s="306"/>
      <c r="CZ79" s="306"/>
      <c r="DA79" s="306"/>
      <c r="DB79" s="306"/>
      <c r="DC79" s="306"/>
      <c r="DD79" s="306"/>
      <c r="DE79" s="306"/>
      <c r="DF79" s="306"/>
      <c r="DG79" s="306"/>
      <c r="DH79" s="306"/>
      <c r="DI79" s="306"/>
      <c r="DJ79" s="306"/>
      <c r="DK79" s="306"/>
      <c r="DL79" s="306"/>
      <c r="DM79" s="306"/>
      <c r="DN79" s="306"/>
      <c r="DO79" s="306"/>
      <c r="DP79" s="306"/>
      <c r="DQ79" s="306"/>
      <c r="DR79" s="306"/>
      <c r="DS79" s="306"/>
      <c r="DT79" s="306"/>
      <c r="DU79" s="306"/>
      <c r="DV79" s="306"/>
      <c r="DW79" s="306"/>
      <c r="DX79" s="306"/>
      <c r="DY79" s="306"/>
      <c r="DZ79" s="306"/>
      <c r="EA79" s="306"/>
      <c r="EB79" s="306"/>
      <c r="EC79" s="306"/>
      <c r="ED79" s="306"/>
      <c r="EE79" s="306"/>
      <c r="EF79" s="306"/>
      <c r="EG79" s="306"/>
      <c r="EH79" s="306"/>
      <c r="EI79" s="306"/>
      <c r="EJ79" s="306"/>
      <c r="EK79" s="306"/>
      <c r="EL79" s="306"/>
      <c r="EM79" s="306"/>
      <c r="EN79" s="306"/>
      <c r="EO79" s="306"/>
      <c r="EP79" s="306"/>
      <c r="EQ79" s="306"/>
      <c r="ER79" s="306"/>
      <c r="ES79" s="306"/>
      <c r="ET79" s="306"/>
      <c r="EU79" s="306"/>
      <c r="EV79" s="306"/>
      <c r="EW79" s="306"/>
      <c r="EX79" s="306"/>
      <c r="EY79" s="306"/>
      <c r="EZ79" s="306"/>
      <c r="FA79" s="306"/>
      <c r="FB79" s="306"/>
      <c r="FC79" s="306"/>
      <c r="FD79" s="306"/>
      <c r="FE79" s="306"/>
      <c r="FF79" s="306"/>
      <c r="FG79" s="306"/>
      <c r="FH79" s="306"/>
      <c r="FI79" s="306"/>
      <c r="FJ79" s="306"/>
      <c r="FK79" s="306"/>
      <c r="FL79" s="306"/>
      <c r="FM79" s="306"/>
      <c r="FN79" s="306"/>
      <c r="FO79" s="306"/>
      <c r="FP79" s="306"/>
      <c r="FQ79" s="306"/>
      <c r="FR79" s="306"/>
      <c r="FS79" s="306"/>
      <c r="FT79" s="306"/>
      <c r="FU79" s="306"/>
      <c r="FV79" s="306"/>
      <c r="FW79" s="306"/>
      <c r="FX79" s="306"/>
      <c r="FY79" s="306"/>
      <c r="FZ79" s="306"/>
      <c r="GA79" s="306"/>
      <c r="GB79" s="306"/>
      <c r="GC79" s="306"/>
      <c r="GD79" s="306"/>
      <c r="GE79" s="306"/>
      <c r="GF79" s="306"/>
      <c r="GG79" s="306"/>
      <c r="GH79" s="306"/>
      <c r="GI79" s="306"/>
      <c r="GJ79" s="306"/>
      <c r="GK79" s="306"/>
      <c r="GL79" s="306"/>
      <c r="GM79" s="306"/>
      <c r="GN79" s="306"/>
      <c r="GO79" s="306"/>
      <c r="GP79" s="306"/>
      <c r="GQ79" s="306"/>
      <c r="GR79" s="306"/>
      <c r="GS79" s="306"/>
      <c r="GT79" s="306"/>
      <c r="GU79" s="306"/>
      <c r="GV79" s="306"/>
      <c r="GW79" s="306"/>
      <c r="GX79" s="306"/>
      <c r="GY79" s="306"/>
      <c r="GZ79" s="306"/>
      <c r="HA79" s="306"/>
      <c r="HB79" s="306"/>
      <c r="HC79" s="306"/>
      <c r="HD79" s="306"/>
      <c r="HE79" s="306"/>
      <c r="HF79" s="306"/>
      <c r="HG79" s="306"/>
      <c r="HH79" s="306"/>
      <c r="HI79" s="306"/>
      <c r="HJ79" s="306"/>
      <c r="HK79" s="306"/>
      <c r="HL79" s="306"/>
      <c r="HM79" s="306"/>
      <c r="HN79" s="306"/>
      <c r="HO79" s="306"/>
      <c r="HP79" s="306"/>
      <c r="HQ79" s="306"/>
      <c r="HR79" s="306"/>
      <c r="HS79" s="306"/>
      <c r="HT79" s="306"/>
      <c r="HU79" s="306"/>
      <c r="HV79" s="306"/>
      <c r="HW79" s="306"/>
      <c r="HX79" s="306"/>
      <c r="HY79" s="306"/>
      <c r="HZ79" s="306"/>
      <c r="IA79" s="306"/>
      <c r="IB79" s="306"/>
      <c r="IC79" s="306"/>
      <c r="ID79" s="306"/>
      <c r="IE79" s="306"/>
    </row>
    <row r="80" spans="1:239" s="127" customFormat="1" ht="25.5">
      <c r="A80" s="307">
        <v>72</v>
      </c>
      <c r="B80" s="357">
        <v>42943</v>
      </c>
      <c r="C80" s="307" t="s">
        <v>517</v>
      </c>
      <c r="D80" s="307" t="s">
        <v>585</v>
      </c>
      <c r="E80" s="307">
        <v>10</v>
      </c>
      <c r="F80" s="355" t="s">
        <v>711</v>
      </c>
      <c r="G80" s="307" t="s">
        <v>522</v>
      </c>
      <c r="H80" s="307">
        <v>6.25</v>
      </c>
      <c r="I80" s="307">
        <v>7</v>
      </c>
      <c r="J80" s="307">
        <v>93.73</v>
      </c>
      <c r="K80" s="307">
        <v>1</v>
      </c>
      <c r="L80" s="347"/>
      <c r="M80" s="346">
        <f t="shared" si="4"/>
        <v>43.75</v>
      </c>
      <c r="N80" s="346">
        <f t="shared" si="5"/>
        <v>585.8125</v>
      </c>
      <c r="O80" s="34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6"/>
      <c r="BX80" s="306"/>
      <c r="BY80" s="306"/>
      <c r="BZ80" s="306"/>
      <c r="CA80" s="306"/>
      <c r="CB80" s="306"/>
      <c r="CC80" s="306"/>
      <c r="CD80" s="306"/>
      <c r="CE80" s="306"/>
      <c r="CF80" s="306"/>
      <c r="CG80" s="306"/>
      <c r="CH80" s="306"/>
      <c r="CI80" s="306"/>
      <c r="CJ80" s="306"/>
      <c r="CK80" s="306"/>
      <c r="CL80" s="306"/>
      <c r="CM80" s="306"/>
      <c r="CN80" s="306"/>
      <c r="CO80" s="306"/>
      <c r="CP80" s="306"/>
      <c r="CQ80" s="306"/>
      <c r="CR80" s="306"/>
      <c r="CS80" s="306"/>
      <c r="CT80" s="306"/>
      <c r="CU80" s="306"/>
      <c r="CV80" s="306"/>
      <c r="CW80" s="306"/>
      <c r="CX80" s="306"/>
      <c r="CY80" s="306"/>
      <c r="CZ80" s="306"/>
      <c r="DA80" s="306"/>
      <c r="DB80" s="306"/>
      <c r="DC80" s="306"/>
      <c r="DD80" s="306"/>
      <c r="DE80" s="306"/>
      <c r="DF80" s="306"/>
      <c r="DG80" s="306"/>
      <c r="DH80" s="306"/>
      <c r="DI80" s="306"/>
      <c r="DJ80" s="306"/>
      <c r="DK80" s="306"/>
      <c r="DL80" s="306"/>
      <c r="DM80" s="306"/>
      <c r="DN80" s="306"/>
      <c r="DO80" s="306"/>
      <c r="DP80" s="306"/>
      <c r="DQ80" s="306"/>
      <c r="DR80" s="306"/>
      <c r="DS80" s="306"/>
      <c r="DT80" s="306"/>
      <c r="DU80" s="306"/>
      <c r="DV80" s="306"/>
      <c r="DW80" s="306"/>
      <c r="DX80" s="306"/>
      <c r="DY80" s="306"/>
      <c r="DZ80" s="306"/>
      <c r="EA80" s="306"/>
      <c r="EB80" s="306"/>
      <c r="EC80" s="306"/>
      <c r="ED80" s="306"/>
      <c r="EE80" s="306"/>
      <c r="EF80" s="306"/>
      <c r="EG80" s="306"/>
      <c r="EH80" s="306"/>
      <c r="EI80" s="306"/>
      <c r="EJ80" s="306"/>
      <c r="EK80" s="306"/>
      <c r="EL80" s="306"/>
      <c r="EM80" s="306"/>
      <c r="EN80" s="306"/>
      <c r="EO80" s="306"/>
      <c r="EP80" s="306"/>
      <c r="EQ80" s="306"/>
      <c r="ER80" s="306"/>
      <c r="ES80" s="306"/>
      <c r="ET80" s="306"/>
      <c r="EU80" s="306"/>
      <c r="EV80" s="306"/>
      <c r="EW80" s="306"/>
      <c r="EX80" s="306"/>
      <c r="EY80" s="306"/>
      <c r="EZ80" s="306"/>
      <c r="FA80" s="306"/>
      <c r="FB80" s="306"/>
      <c r="FC80" s="306"/>
      <c r="FD80" s="306"/>
      <c r="FE80" s="306"/>
      <c r="FF80" s="306"/>
      <c r="FG80" s="306"/>
      <c r="FH80" s="306"/>
      <c r="FI80" s="306"/>
      <c r="FJ80" s="306"/>
      <c r="FK80" s="306"/>
      <c r="FL80" s="306"/>
      <c r="FM80" s="306"/>
      <c r="FN80" s="306"/>
      <c r="FO80" s="306"/>
      <c r="FP80" s="306"/>
      <c r="FQ80" s="306"/>
      <c r="FR80" s="306"/>
      <c r="FS80" s="306"/>
      <c r="FT80" s="306"/>
      <c r="FU80" s="306"/>
      <c r="FV80" s="306"/>
      <c r="FW80" s="306"/>
      <c r="FX80" s="306"/>
      <c r="FY80" s="306"/>
      <c r="FZ80" s="306"/>
      <c r="GA80" s="306"/>
      <c r="GB80" s="306"/>
      <c r="GC80" s="306"/>
      <c r="GD80" s="306"/>
      <c r="GE80" s="306"/>
      <c r="GF80" s="306"/>
      <c r="GG80" s="306"/>
      <c r="GH80" s="306"/>
      <c r="GI80" s="306"/>
      <c r="GJ80" s="306"/>
      <c r="GK80" s="306"/>
      <c r="GL80" s="306"/>
      <c r="GM80" s="306"/>
      <c r="GN80" s="306"/>
      <c r="GO80" s="306"/>
      <c r="GP80" s="306"/>
      <c r="GQ80" s="306"/>
      <c r="GR80" s="306"/>
      <c r="GS80" s="306"/>
      <c r="GT80" s="306"/>
      <c r="GU80" s="306"/>
      <c r="GV80" s="306"/>
      <c r="GW80" s="306"/>
      <c r="GX80" s="306"/>
      <c r="GY80" s="306"/>
      <c r="GZ80" s="306"/>
      <c r="HA80" s="306"/>
      <c r="HB80" s="306"/>
      <c r="HC80" s="306"/>
      <c r="HD80" s="306"/>
      <c r="HE80" s="306"/>
      <c r="HF80" s="306"/>
      <c r="HG80" s="306"/>
      <c r="HH80" s="306"/>
      <c r="HI80" s="306"/>
      <c r="HJ80" s="306"/>
      <c r="HK80" s="306"/>
      <c r="HL80" s="306"/>
      <c r="HM80" s="306"/>
      <c r="HN80" s="306"/>
      <c r="HO80" s="306"/>
      <c r="HP80" s="306"/>
      <c r="HQ80" s="306"/>
      <c r="HR80" s="306"/>
      <c r="HS80" s="306"/>
      <c r="HT80" s="306"/>
      <c r="HU80" s="306"/>
      <c r="HV80" s="306"/>
      <c r="HW80" s="306"/>
      <c r="HX80" s="306"/>
      <c r="HY80" s="306"/>
      <c r="HZ80" s="306"/>
      <c r="IA80" s="306"/>
      <c r="IB80" s="306"/>
      <c r="IC80" s="306"/>
      <c r="ID80" s="306"/>
      <c r="IE80" s="306"/>
    </row>
    <row r="81" spans="1:239" ht="25.5">
      <c r="A81" s="307">
        <v>73</v>
      </c>
      <c r="B81" s="357">
        <v>42944</v>
      </c>
      <c r="C81" s="307" t="s">
        <v>517</v>
      </c>
      <c r="D81" s="307" t="s">
        <v>586</v>
      </c>
      <c r="E81" s="307">
        <v>6</v>
      </c>
      <c r="F81" s="355" t="s">
        <v>711</v>
      </c>
      <c r="G81" s="307" t="s">
        <v>522</v>
      </c>
      <c r="H81" s="307">
        <v>6.17</v>
      </c>
      <c r="I81" s="307">
        <v>4</v>
      </c>
      <c r="J81" s="307">
        <v>150</v>
      </c>
      <c r="K81" s="307">
        <v>1</v>
      </c>
      <c r="L81" s="347"/>
      <c r="M81" s="346">
        <f t="shared" si="4"/>
        <v>24.68</v>
      </c>
      <c r="N81" s="346">
        <f t="shared" si="5"/>
        <v>925.5</v>
      </c>
      <c r="O81" s="34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  <c r="BL81" s="306"/>
      <c r="BM81" s="306"/>
      <c r="BN81" s="306"/>
      <c r="BO81" s="306"/>
      <c r="BP81" s="306"/>
      <c r="BQ81" s="306"/>
      <c r="BR81" s="306"/>
      <c r="BS81" s="306"/>
      <c r="BT81" s="306"/>
      <c r="BU81" s="306"/>
      <c r="BV81" s="306"/>
      <c r="BW81" s="306"/>
      <c r="BX81" s="306"/>
      <c r="BY81" s="306"/>
      <c r="BZ81" s="306"/>
      <c r="CA81" s="306"/>
      <c r="CB81" s="306"/>
      <c r="CC81" s="306"/>
      <c r="CD81" s="306"/>
      <c r="CE81" s="306"/>
      <c r="CF81" s="306"/>
      <c r="CG81" s="306"/>
      <c r="CH81" s="306"/>
      <c r="CI81" s="306"/>
      <c r="CJ81" s="306"/>
      <c r="CK81" s="306"/>
      <c r="CL81" s="306"/>
      <c r="CM81" s="306"/>
      <c r="CN81" s="306"/>
      <c r="CO81" s="306"/>
      <c r="CP81" s="306"/>
      <c r="CQ81" s="306"/>
      <c r="CR81" s="306"/>
      <c r="CS81" s="306"/>
      <c r="CT81" s="306"/>
      <c r="CU81" s="306"/>
      <c r="CV81" s="306"/>
      <c r="CW81" s="306"/>
      <c r="CX81" s="306"/>
      <c r="CY81" s="306"/>
      <c r="CZ81" s="306"/>
      <c r="DA81" s="306"/>
      <c r="DB81" s="306"/>
      <c r="DC81" s="306"/>
      <c r="DD81" s="306"/>
      <c r="DE81" s="306"/>
      <c r="DF81" s="306"/>
      <c r="DG81" s="306"/>
      <c r="DH81" s="306"/>
      <c r="DI81" s="306"/>
      <c r="DJ81" s="306"/>
      <c r="DK81" s="306"/>
      <c r="DL81" s="306"/>
      <c r="DM81" s="306"/>
      <c r="DN81" s="306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6"/>
      <c r="EB81" s="306"/>
      <c r="EC81" s="306"/>
      <c r="ED81" s="306"/>
      <c r="EE81" s="306"/>
      <c r="EF81" s="306"/>
      <c r="EG81" s="306"/>
      <c r="EH81" s="306"/>
      <c r="EI81" s="306"/>
      <c r="EJ81" s="306"/>
      <c r="EK81" s="306"/>
      <c r="EL81" s="306"/>
      <c r="EM81" s="306"/>
      <c r="EN81" s="306"/>
      <c r="EO81" s="306"/>
      <c r="EP81" s="306"/>
      <c r="EQ81" s="306"/>
      <c r="ER81" s="306"/>
      <c r="ES81" s="306"/>
      <c r="ET81" s="306"/>
      <c r="EU81" s="306"/>
      <c r="EV81" s="306"/>
      <c r="EW81" s="306"/>
      <c r="EX81" s="306"/>
      <c r="EY81" s="306"/>
      <c r="EZ81" s="306"/>
      <c r="FA81" s="306"/>
      <c r="FB81" s="306"/>
      <c r="FC81" s="306"/>
      <c r="FD81" s="306"/>
      <c r="FE81" s="306"/>
      <c r="FF81" s="306"/>
      <c r="FG81" s="306"/>
      <c r="FH81" s="306"/>
      <c r="FI81" s="306"/>
      <c r="FJ81" s="306"/>
      <c r="FK81" s="306"/>
      <c r="FL81" s="306"/>
      <c r="FM81" s="306"/>
      <c r="FN81" s="306"/>
      <c r="FO81" s="306"/>
      <c r="FP81" s="306"/>
      <c r="FQ81" s="306"/>
      <c r="FR81" s="306"/>
      <c r="FS81" s="306"/>
      <c r="FT81" s="306"/>
      <c r="FU81" s="306"/>
      <c r="FV81" s="306"/>
      <c r="FW81" s="306"/>
      <c r="FX81" s="306"/>
      <c r="FY81" s="306"/>
      <c r="FZ81" s="306"/>
      <c r="GA81" s="306"/>
      <c r="GB81" s="306"/>
      <c r="GC81" s="306"/>
      <c r="GD81" s="306"/>
      <c r="GE81" s="306"/>
      <c r="GF81" s="306"/>
      <c r="GG81" s="306"/>
      <c r="GH81" s="306"/>
      <c r="GI81" s="306"/>
      <c r="GJ81" s="306"/>
      <c r="GK81" s="306"/>
      <c r="GL81" s="306"/>
      <c r="GM81" s="306"/>
      <c r="GN81" s="306"/>
      <c r="GO81" s="306"/>
      <c r="GP81" s="306"/>
      <c r="GQ81" s="306"/>
      <c r="GR81" s="306"/>
      <c r="GS81" s="306"/>
      <c r="GT81" s="306"/>
      <c r="GU81" s="306"/>
      <c r="GV81" s="306"/>
      <c r="GW81" s="306"/>
      <c r="GX81" s="306"/>
      <c r="GY81" s="306"/>
      <c r="GZ81" s="306"/>
      <c r="HA81" s="306"/>
      <c r="HB81" s="306"/>
      <c r="HC81" s="306"/>
      <c r="HD81" s="306"/>
      <c r="HE81" s="306"/>
      <c r="HF81" s="306"/>
      <c r="HG81" s="306"/>
      <c r="HH81" s="306"/>
      <c r="HI81" s="306"/>
      <c r="HJ81" s="306"/>
      <c r="HK81" s="306"/>
      <c r="HL81" s="306"/>
      <c r="HM81" s="306"/>
      <c r="HN81" s="306"/>
      <c r="HO81" s="306"/>
      <c r="HP81" s="306"/>
      <c r="HQ81" s="306"/>
      <c r="HR81" s="306"/>
      <c r="HS81" s="306"/>
      <c r="HT81" s="306"/>
      <c r="HU81" s="306"/>
      <c r="HV81" s="306"/>
      <c r="HW81" s="306"/>
      <c r="HX81" s="306"/>
      <c r="HY81" s="306"/>
      <c r="HZ81" s="306"/>
      <c r="IA81" s="306"/>
      <c r="IB81" s="306"/>
      <c r="IC81" s="306"/>
      <c r="ID81" s="306"/>
      <c r="IE81" s="306"/>
    </row>
    <row r="82" spans="1:239" ht="25.5">
      <c r="A82" s="308">
        <v>74</v>
      </c>
      <c r="B82" s="359">
        <v>42949</v>
      </c>
      <c r="C82" s="305" t="s">
        <v>514</v>
      </c>
      <c r="D82" s="308" t="s">
        <v>560</v>
      </c>
      <c r="E82" s="308">
        <v>6</v>
      </c>
      <c r="F82" s="350" t="s">
        <v>711</v>
      </c>
      <c r="G82" s="308" t="s">
        <v>522</v>
      </c>
      <c r="H82" s="308">
        <v>4</v>
      </c>
      <c r="I82" s="308">
        <v>6</v>
      </c>
      <c r="J82" s="308">
        <v>285</v>
      </c>
      <c r="K82" s="308">
        <v>1</v>
      </c>
      <c r="L82" s="348"/>
      <c r="M82" s="346">
        <f t="shared" si="4"/>
        <v>24</v>
      </c>
      <c r="N82" s="346">
        <f t="shared" si="5"/>
        <v>1140</v>
      </c>
      <c r="O82" s="348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09"/>
      <c r="DC82" s="309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  <c r="ES82" s="309"/>
      <c r="ET82" s="309"/>
      <c r="EU82" s="309"/>
      <c r="EV82" s="309"/>
      <c r="EW82" s="309"/>
      <c r="EX82" s="309"/>
      <c r="EY82" s="309"/>
      <c r="EZ82" s="309"/>
      <c r="FA82" s="309"/>
      <c r="FB82" s="309"/>
      <c r="FC82" s="309"/>
      <c r="FD82" s="309"/>
      <c r="FE82" s="309"/>
      <c r="FF82" s="309"/>
      <c r="FG82" s="309"/>
      <c r="FH82" s="309"/>
      <c r="FI82" s="309"/>
      <c r="FJ82" s="309"/>
      <c r="FK82" s="309"/>
      <c r="FL82" s="309"/>
      <c r="FM82" s="309"/>
      <c r="FN82" s="309"/>
      <c r="FO82" s="309"/>
      <c r="FP82" s="309"/>
      <c r="FQ82" s="309"/>
      <c r="FR82" s="309"/>
      <c r="FS82" s="309"/>
      <c r="FT82" s="309"/>
      <c r="FU82" s="309"/>
      <c r="FV82" s="309"/>
      <c r="FW82" s="309"/>
      <c r="FX82" s="309"/>
      <c r="FY82" s="309"/>
      <c r="FZ82" s="309"/>
      <c r="GA82" s="309"/>
      <c r="GB82" s="309"/>
      <c r="GC82" s="309"/>
      <c r="GD82" s="309"/>
      <c r="GE82" s="309"/>
      <c r="GF82" s="309"/>
      <c r="GG82" s="309"/>
      <c r="GH82" s="309"/>
      <c r="GI82" s="309"/>
      <c r="GJ82" s="309"/>
      <c r="GK82" s="309"/>
      <c r="GL82" s="309"/>
      <c r="GM82" s="309"/>
      <c r="GN82" s="309"/>
      <c r="GO82" s="309"/>
      <c r="GP82" s="309"/>
      <c r="GQ82" s="309"/>
      <c r="GR82" s="309"/>
      <c r="GS82" s="309"/>
      <c r="GT82" s="309"/>
      <c r="GU82" s="309"/>
      <c r="GV82" s="309"/>
      <c r="GW82" s="309"/>
      <c r="GX82" s="309"/>
      <c r="GY82" s="309"/>
      <c r="GZ82" s="309"/>
      <c r="HA82" s="309"/>
      <c r="HB82" s="309"/>
      <c r="HC82" s="309"/>
      <c r="HD82" s="309"/>
      <c r="HE82" s="309"/>
      <c r="HF82" s="309"/>
      <c r="HG82" s="309"/>
      <c r="HH82" s="309"/>
      <c r="HI82" s="309"/>
      <c r="HJ82" s="309"/>
      <c r="HK82" s="309"/>
      <c r="HL82" s="309"/>
      <c r="HM82" s="309"/>
      <c r="HN82" s="309"/>
      <c r="HO82" s="309"/>
      <c r="HP82" s="309"/>
      <c r="HQ82" s="309"/>
      <c r="HR82" s="309"/>
      <c r="HS82" s="309"/>
      <c r="HT82" s="309"/>
      <c r="HU82" s="309"/>
      <c r="HV82" s="309"/>
      <c r="HW82" s="309"/>
      <c r="HX82" s="309"/>
      <c r="HY82" s="309"/>
      <c r="HZ82" s="309"/>
      <c r="IA82" s="309"/>
      <c r="IB82" s="309"/>
      <c r="IC82" s="309"/>
      <c r="ID82" s="309"/>
      <c r="IE82" s="309"/>
    </row>
    <row r="83" spans="1:239" ht="25.5">
      <c r="A83" s="308">
        <v>75</v>
      </c>
      <c r="B83" s="359">
        <v>42965</v>
      </c>
      <c r="C83" s="305" t="s">
        <v>514</v>
      </c>
      <c r="D83" s="308" t="s">
        <v>587</v>
      </c>
      <c r="E83" s="308">
        <v>0.4</v>
      </c>
      <c r="F83" s="350" t="s">
        <v>711</v>
      </c>
      <c r="G83" s="308" t="s">
        <v>522</v>
      </c>
      <c r="H83" s="308">
        <v>5</v>
      </c>
      <c r="I83" s="308">
        <v>1</v>
      </c>
      <c r="J83" s="308">
        <v>40</v>
      </c>
      <c r="K83" s="308">
        <v>1</v>
      </c>
      <c r="L83" s="348"/>
      <c r="M83" s="346">
        <f t="shared" si="4"/>
        <v>5</v>
      </c>
      <c r="N83" s="346">
        <f t="shared" si="5"/>
        <v>200</v>
      </c>
      <c r="O83" s="348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09"/>
      <c r="DC83" s="309"/>
      <c r="DD83" s="309"/>
      <c r="DE83" s="309"/>
      <c r="DF83" s="309"/>
      <c r="DG83" s="309"/>
      <c r="DH83" s="309"/>
      <c r="DI83" s="309"/>
      <c r="DJ83" s="309"/>
      <c r="DK83" s="309"/>
      <c r="DL83" s="309"/>
      <c r="DM83" s="309"/>
      <c r="DN83" s="309"/>
      <c r="DO83" s="309"/>
      <c r="DP83" s="309"/>
      <c r="DQ83" s="309"/>
      <c r="DR83" s="309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309"/>
      <c r="EX83" s="309"/>
      <c r="EY83" s="309"/>
      <c r="EZ83" s="309"/>
      <c r="FA83" s="309"/>
      <c r="FB83" s="309"/>
      <c r="FC83" s="309"/>
      <c r="FD83" s="309"/>
      <c r="FE83" s="309"/>
      <c r="FF83" s="309"/>
      <c r="FG83" s="309"/>
      <c r="FH83" s="309"/>
      <c r="FI83" s="309"/>
      <c r="FJ83" s="309"/>
      <c r="FK83" s="309"/>
      <c r="FL83" s="309"/>
      <c r="FM83" s="309"/>
      <c r="FN83" s="309"/>
      <c r="FO83" s="309"/>
      <c r="FP83" s="309"/>
      <c r="FQ83" s="309"/>
      <c r="FR83" s="309"/>
      <c r="FS83" s="309"/>
      <c r="FT83" s="309"/>
      <c r="FU83" s="309"/>
      <c r="FV83" s="309"/>
      <c r="FW83" s="309"/>
      <c r="FX83" s="309"/>
      <c r="FY83" s="309"/>
      <c r="FZ83" s="309"/>
      <c r="GA83" s="309"/>
      <c r="GB83" s="309"/>
      <c r="GC83" s="309"/>
      <c r="GD83" s="309"/>
      <c r="GE83" s="309"/>
      <c r="GF83" s="309"/>
      <c r="GG83" s="309"/>
      <c r="GH83" s="309"/>
      <c r="GI83" s="309"/>
      <c r="GJ83" s="309"/>
      <c r="GK83" s="309"/>
      <c r="GL83" s="309"/>
      <c r="GM83" s="309"/>
      <c r="GN83" s="309"/>
      <c r="GO83" s="309"/>
      <c r="GP83" s="309"/>
      <c r="GQ83" s="309"/>
      <c r="GR83" s="309"/>
      <c r="GS83" s="309"/>
      <c r="GT83" s="309"/>
      <c r="GU83" s="309"/>
      <c r="GV83" s="309"/>
      <c r="GW83" s="309"/>
      <c r="GX83" s="309"/>
      <c r="GY83" s="309"/>
      <c r="GZ83" s="309"/>
      <c r="HA83" s="309"/>
      <c r="HB83" s="309"/>
      <c r="HC83" s="309"/>
      <c r="HD83" s="309"/>
      <c r="HE83" s="309"/>
      <c r="HF83" s="309"/>
      <c r="HG83" s="309"/>
      <c r="HH83" s="309"/>
      <c r="HI83" s="309"/>
      <c r="HJ83" s="309"/>
      <c r="HK83" s="309"/>
      <c r="HL83" s="309"/>
      <c r="HM83" s="309"/>
      <c r="HN83" s="309"/>
      <c r="HO83" s="309"/>
      <c r="HP83" s="309"/>
      <c r="HQ83" s="309"/>
      <c r="HR83" s="309"/>
      <c r="HS83" s="309"/>
      <c r="HT83" s="309"/>
      <c r="HU83" s="309"/>
      <c r="HV83" s="309"/>
      <c r="HW83" s="309"/>
      <c r="HX83" s="309"/>
      <c r="HY83" s="309"/>
      <c r="HZ83" s="309"/>
      <c r="IA83" s="309"/>
      <c r="IB83" s="309"/>
      <c r="IC83" s="309"/>
      <c r="ID83" s="309"/>
      <c r="IE83" s="309"/>
    </row>
    <row r="84" spans="1:239" ht="25.5">
      <c r="A84" s="308">
        <v>76</v>
      </c>
      <c r="B84" s="359">
        <v>42971</v>
      </c>
      <c r="C84" s="305" t="s">
        <v>514</v>
      </c>
      <c r="D84" s="308" t="s">
        <v>553</v>
      </c>
      <c r="E84" s="308">
        <v>6</v>
      </c>
      <c r="F84" s="350" t="s">
        <v>711</v>
      </c>
      <c r="G84" s="308" t="s">
        <v>522</v>
      </c>
      <c r="H84" s="308">
        <v>2.75</v>
      </c>
      <c r="I84" s="308">
        <v>9</v>
      </c>
      <c r="J84" s="308">
        <v>796</v>
      </c>
      <c r="K84" s="308">
        <v>1</v>
      </c>
      <c r="L84" s="348"/>
      <c r="M84" s="346">
        <f t="shared" si="4"/>
        <v>24.75</v>
      </c>
      <c r="N84" s="346">
        <f t="shared" si="5"/>
        <v>2189</v>
      </c>
      <c r="O84" s="348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09"/>
      <c r="DD84" s="309"/>
      <c r="DE84" s="309"/>
      <c r="DF84" s="309"/>
      <c r="DG84" s="309"/>
      <c r="DH84" s="309"/>
      <c r="DI84" s="309"/>
      <c r="DJ84" s="309"/>
      <c r="DK84" s="309"/>
      <c r="DL84" s="309"/>
      <c r="DM84" s="309"/>
      <c r="DN84" s="309"/>
      <c r="DO84" s="309"/>
      <c r="DP84" s="309"/>
      <c r="DQ84" s="309"/>
      <c r="DR84" s="309"/>
      <c r="DS84" s="309"/>
      <c r="DT84" s="309"/>
      <c r="DU84" s="309"/>
      <c r="DV84" s="309"/>
      <c r="DW84" s="309"/>
      <c r="DX84" s="309"/>
      <c r="DY84" s="309"/>
      <c r="DZ84" s="309"/>
      <c r="EA84" s="309"/>
      <c r="EB84" s="309"/>
      <c r="EC84" s="309"/>
      <c r="ED84" s="309"/>
      <c r="EE84" s="309"/>
      <c r="EF84" s="309"/>
      <c r="EG84" s="309"/>
      <c r="EH84" s="309"/>
      <c r="EI84" s="309"/>
      <c r="EJ84" s="309"/>
      <c r="EK84" s="309"/>
      <c r="EL84" s="309"/>
      <c r="EM84" s="309"/>
      <c r="EN84" s="309"/>
      <c r="EO84" s="309"/>
      <c r="EP84" s="309"/>
      <c r="EQ84" s="309"/>
      <c r="ER84" s="309"/>
      <c r="ES84" s="309"/>
      <c r="ET84" s="309"/>
      <c r="EU84" s="309"/>
      <c r="EV84" s="309"/>
      <c r="EW84" s="309"/>
      <c r="EX84" s="309"/>
      <c r="EY84" s="309"/>
      <c r="EZ84" s="309"/>
      <c r="FA84" s="309"/>
      <c r="FB84" s="309"/>
      <c r="FC84" s="309"/>
      <c r="FD84" s="309"/>
      <c r="FE84" s="309"/>
      <c r="FF84" s="309"/>
      <c r="FG84" s="309"/>
      <c r="FH84" s="309"/>
      <c r="FI84" s="309"/>
      <c r="FJ84" s="309"/>
      <c r="FK84" s="309"/>
      <c r="FL84" s="309"/>
      <c r="FM84" s="309"/>
      <c r="FN84" s="309"/>
      <c r="FO84" s="309"/>
      <c r="FP84" s="309"/>
      <c r="FQ84" s="309"/>
      <c r="FR84" s="309"/>
      <c r="FS84" s="309"/>
      <c r="FT84" s="309"/>
      <c r="FU84" s="309"/>
      <c r="FV84" s="309"/>
      <c r="FW84" s="309"/>
      <c r="FX84" s="309"/>
      <c r="FY84" s="309"/>
      <c r="FZ84" s="309"/>
      <c r="GA84" s="309"/>
      <c r="GB84" s="309"/>
      <c r="GC84" s="309"/>
      <c r="GD84" s="309"/>
      <c r="GE84" s="309"/>
      <c r="GF84" s="309"/>
      <c r="GG84" s="309"/>
      <c r="GH84" s="309"/>
      <c r="GI84" s="309"/>
      <c r="GJ84" s="309"/>
      <c r="GK84" s="309"/>
      <c r="GL84" s="309"/>
      <c r="GM84" s="309"/>
      <c r="GN84" s="309"/>
      <c r="GO84" s="309"/>
      <c r="GP84" s="309"/>
      <c r="GQ84" s="309"/>
      <c r="GR84" s="309"/>
      <c r="GS84" s="309"/>
      <c r="GT84" s="309"/>
      <c r="GU84" s="309"/>
      <c r="GV84" s="309"/>
      <c r="GW84" s="309"/>
      <c r="GX84" s="309"/>
      <c r="GY84" s="309"/>
      <c r="GZ84" s="309"/>
      <c r="HA84" s="309"/>
      <c r="HB84" s="309"/>
      <c r="HC84" s="309"/>
      <c r="HD84" s="309"/>
      <c r="HE84" s="309"/>
      <c r="HF84" s="309"/>
      <c r="HG84" s="309"/>
      <c r="HH84" s="309"/>
      <c r="HI84" s="309"/>
      <c r="HJ84" s="309"/>
      <c r="HK84" s="309"/>
      <c r="HL84" s="309"/>
      <c r="HM84" s="309"/>
      <c r="HN84" s="309"/>
      <c r="HO84" s="309"/>
      <c r="HP84" s="309"/>
      <c r="HQ84" s="309"/>
      <c r="HR84" s="309"/>
      <c r="HS84" s="309"/>
      <c r="HT84" s="309"/>
      <c r="HU84" s="309"/>
      <c r="HV84" s="309"/>
      <c r="HW84" s="309"/>
      <c r="HX84" s="309"/>
      <c r="HY84" s="309"/>
      <c r="HZ84" s="309"/>
      <c r="IA84" s="309"/>
      <c r="IB84" s="309"/>
      <c r="IC84" s="309"/>
      <c r="ID84" s="309"/>
      <c r="IE84" s="309"/>
    </row>
    <row r="85" spans="1:239" ht="25.5">
      <c r="A85" s="308">
        <v>77</v>
      </c>
      <c r="B85" s="359">
        <v>42948</v>
      </c>
      <c r="C85" s="305" t="s">
        <v>514</v>
      </c>
      <c r="D85" s="308" t="s">
        <v>515</v>
      </c>
      <c r="E85" s="308">
        <v>10</v>
      </c>
      <c r="F85" s="350" t="s">
        <v>711</v>
      </c>
      <c r="G85" s="308" t="s">
        <v>516</v>
      </c>
      <c r="H85" s="308">
        <v>5.33</v>
      </c>
      <c r="I85" s="308">
        <v>60</v>
      </c>
      <c r="J85" s="308">
        <v>673.75</v>
      </c>
      <c r="K85" s="308">
        <v>1</v>
      </c>
      <c r="L85" s="348"/>
      <c r="M85" s="346">
        <f t="shared" si="4"/>
        <v>319.8</v>
      </c>
      <c r="N85" s="346">
        <f t="shared" si="5"/>
        <v>3591.0875</v>
      </c>
      <c r="O85" s="348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09"/>
      <c r="EY85" s="309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  <c r="FL85" s="309"/>
      <c r="FM85" s="309"/>
      <c r="FN85" s="309"/>
      <c r="FO85" s="309"/>
      <c r="FP85" s="309"/>
      <c r="FQ85" s="309"/>
      <c r="FR85" s="309"/>
      <c r="FS85" s="309"/>
      <c r="FT85" s="309"/>
      <c r="FU85" s="309"/>
      <c r="FV85" s="309"/>
      <c r="FW85" s="309"/>
      <c r="FX85" s="309"/>
      <c r="FY85" s="309"/>
      <c r="FZ85" s="309"/>
      <c r="GA85" s="309"/>
      <c r="GB85" s="309"/>
      <c r="GC85" s="309"/>
      <c r="GD85" s="309"/>
      <c r="GE85" s="309"/>
      <c r="GF85" s="309"/>
      <c r="GG85" s="309"/>
      <c r="GH85" s="309"/>
      <c r="GI85" s="309"/>
      <c r="GJ85" s="309"/>
      <c r="GK85" s="309"/>
      <c r="GL85" s="309"/>
      <c r="GM85" s="309"/>
      <c r="GN85" s="309"/>
      <c r="GO85" s="309"/>
      <c r="GP85" s="309"/>
      <c r="GQ85" s="309"/>
      <c r="GR85" s="309"/>
      <c r="GS85" s="309"/>
      <c r="GT85" s="309"/>
      <c r="GU85" s="309"/>
      <c r="GV85" s="309"/>
      <c r="GW85" s="309"/>
      <c r="GX85" s="309"/>
      <c r="GY85" s="309"/>
      <c r="GZ85" s="309"/>
      <c r="HA85" s="309"/>
      <c r="HB85" s="309"/>
      <c r="HC85" s="309"/>
      <c r="HD85" s="309"/>
      <c r="HE85" s="309"/>
      <c r="HF85" s="309"/>
      <c r="HG85" s="309"/>
      <c r="HH85" s="309"/>
      <c r="HI85" s="309"/>
      <c r="HJ85" s="309"/>
      <c r="HK85" s="309"/>
      <c r="HL85" s="309"/>
      <c r="HM85" s="309"/>
      <c r="HN85" s="309"/>
      <c r="HO85" s="309"/>
      <c r="HP85" s="309"/>
      <c r="HQ85" s="309"/>
      <c r="HR85" s="309"/>
      <c r="HS85" s="309"/>
      <c r="HT85" s="309"/>
      <c r="HU85" s="309"/>
      <c r="HV85" s="309"/>
      <c r="HW85" s="309"/>
      <c r="HX85" s="309"/>
      <c r="HY85" s="309"/>
      <c r="HZ85" s="309"/>
      <c r="IA85" s="309"/>
      <c r="IB85" s="309"/>
      <c r="IC85" s="309"/>
      <c r="ID85" s="309"/>
      <c r="IE85" s="309"/>
    </row>
    <row r="86" spans="1:239" ht="25.5">
      <c r="A86" s="308">
        <v>78</v>
      </c>
      <c r="B86" s="359">
        <v>42976</v>
      </c>
      <c r="C86" s="305" t="s">
        <v>514</v>
      </c>
      <c r="D86" s="308" t="s">
        <v>588</v>
      </c>
      <c r="E86" s="308">
        <v>6</v>
      </c>
      <c r="F86" s="350" t="s">
        <v>711</v>
      </c>
      <c r="G86" s="308" t="s">
        <v>529</v>
      </c>
      <c r="H86" s="308">
        <v>0.83</v>
      </c>
      <c r="I86" s="308">
        <v>15</v>
      </c>
      <c r="J86" s="308">
        <v>526</v>
      </c>
      <c r="K86" s="308">
        <v>0</v>
      </c>
      <c r="L86" s="348"/>
      <c r="M86" s="346">
        <f t="shared" si="4"/>
        <v>12.45</v>
      </c>
      <c r="N86" s="346">
        <f t="shared" si="5"/>
        <v>436.58</v>
      </c>
      <c r="O86" s="348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  <c r="CR86" s="309"/>
      <c r="CS86" s="309"/>
      <c r="CT86" s="309"/>
      <c r="CU86" s="309"/>
      <c r="CV86" s="309"/>
      <c r="CW86" s="309"/>
      <c r="CX86" s="309"/>
      <c r="CY86" s="309"/>
      <c r="CZ86" s="309"/>
      <c r="DA86" s="309"/>
      <c r="DB86" s="309"/>
      <c r="DC86" s="309"/>
      <c r="DD86" s="309"/>
      <c r="DE86" s="309"/>
      <c r="DF86" s="309"/>
      <c r="DG86" s="309"/>
      <c r="DH86" s="309"/>
      <c r="DI86" s="309"/>
      <c r="DJ86" s="309"/>
      <c r="DK86" s="309"/>
      <c r="DL86" s="309"/>
      <c r="DM86" s="309"/>
      <c r="DN86" s="309"/>
      <c r="DO86" s="309"/>
      <c r="DP86" s="309"/>
      <c r="DQ86" s="309"/>
      <c r="DR86" s="309"/>
      <c r="DS86" s="309"/>
      <c r="DT86" s="309"/>
      <c r="DU86" s="309"/>
      <c r="DV86" s="309"/>
      <c r="DW86" s="309"/>
      <c r="DX86" s="309"/>
      <c r="DY86" s="309"/>
      <c r="DZ86" s="309"/>
      <c r="EA86" s="309"/>
      <c r="EB86" s="309"/>
      <c r="EC86" s="309"/>
      <c r="ED86" s="309"/>
      <c r="EE86" s="309"/>
      <c r="EF86" s="309"/>
      <c r="EG86" s="309"/>
      <c r="EH86" s="309"/>
      <c r="EI86" s="309"/>
      <c r="EJ86" s="309"/>
      <c r="EK86" s="309"/>
      <c r="EL86" s="309"/>
      <c r="EM86" s="309"/>
      <c r="EN86" s="309"/>
      <c r="EO86" s="309"/>
      <c r="EP86" s="309"/>
      <c r="EQ86" s="309"/>
      <c r="ER86" s="309"/>
      <c r="ES86" s="309"/>
      <c r="ET86" s="309"/>
      <c r="EU86" s="309"/>
      <c r="EV86" s="309"/>
      <c r="EW86" s="309"/>
      <c r="EX86" s="309"/>
      <c r="EY86" s="309"/>
      <c r="EZ86" s="309"/>
      <c r="FA86" s="309"/>
      <c r="FB86" s="309"/>
      <c r="FC86" s="309"/>
      <c r="FD86" s="309"/>
      <c r="FE86" s="309"/>
      <c r="FF86" s="309"/>
      <c r="FG86" s="309"/>
      <c r="FH86" s="309"/>
      <c r="FI86" s="309"/>
      <c r="FJ86" s="309"/>
      <c r="FK86" s="309"/>
      <c r="FL86" s="309"/>
      <c r="FM86" s="309"/>
      <c r="FN86" s="309"/>
      <c r="FO86" s="309"/>
      <c r="FP86" s="309"/>
      <c r="FQ86" s="309"/>
      <c r="FR86" s="309"/>
      <c r="FS86" s="309"/>
      <c r="FT86" s="309"/>
      <c r="FU86" s="309"/>
      <c r="FV86" s="309"/>
      <c r="FW86" s="309"/>
      <c r="FX86" s="309"/>
      <c r="FY86" s="309"/>
      <c r="FZ86" s="309"/>
      <c r="GA86" s="309"/>
      <c r="GB86" s="309"/>
      <c r="GC86" s="309"/>
      <c r="GD86" s="309"/>
      <c r="GE86" s="309"/>
      <c r="GF86" s="309"/>
      <c r="GG86" s="309"/>
      <c r="GH86" s="309"/>
      <c r="GI86" s="309"/>
      <c r="GJ86" s="309"/>
      <c r="GK86" s="309"/>
      <c r="GL86" s="309"/>
      <c r="GM86" s="309"/>
      <c r="GN86" s="309"/>
      <c r="GO86" s="309"/>
      <c r="GP86" s="309"/>
      <c r="GQ86" s="309"/>
      <c r="GR86" s="309"/>
      <c r="GS86" s="309"/>
      <c r="GT86" s="309"/>
      <c r="GU86" s="309"/>
      <c r="GV86" s="309"/>
      <c r="GW86" s="309"/>
      <c r="GX86" s="309"/>
      <c r="GY86" s="309"/>
      <c r="GZ86" s="309"/>
      <c r="HA86" s="309"/>
      <c r="HB86" s="309"/>
      <c r="HC86" s="309"/>
      <c r="HD86" s="309"/>
      <c r="HE86" s="309"/>
      <c r="HF86" s="309"/>
      <c r="HG86" s="309"/>
      <c r="HH86" s="309"/>
      <c r="HI86" s="309"/>
      <c r="HJ86" s="309"/>
      <c r="HK86" s="309"/>
      <c r="HL86" s="309"/>
      <c r="HM86" s="309"/>
      <c r="HN86" s="309"/>
      <c r="HO86" s="309"/>
      <c r="HP86" s="309"/>
      <c r="HQ86" s="309"/>
      <c r="HR86" s="309"/>
      <c r="HS86" s="309"/>
      <c r="HT86" s="309"/>
      <c r="HU86" s="309"/>
      <c r="HV86" s="309"/>
      <c r="HW86" s="309"/>
      <c r="HX86" s="309"/>
      <c r="HY86" s="309"/>
      <c r="HZ86" s="309"/>
      <c r="IA86" s="309"/>
      <c r="IB86" s="309"/>
      <c r="IC86" s="309"/>
      <c r="ID86" s="309"/>
      <c r="IE86" s="309"/>
    </row>
    <row r="87" spans="1:239" ht="25.5">
      <c r="A87" s="310">
        <v>79</v>
      </c>
      <c r="B87" s="360">
        <v>42951</v>
      </c>
      <c r="C87" s="307" t="s">
        <v>517</v>
      </c>
      <c r="D87" s="310" t="s">
        <v>589</v>
      </c>
      <c r="E87" s="310">
        <v>0.4</v>
      </c>
      <c r="F87" s="355" t="s">
        <v>711</v>
      </c>
      <c r="G87" s="310" t="s">
        <v>522</v>
      </c>
      <c r="H87" s="310">
        <v>0.92</v>
      </c>
      <c r="I87" s="310">
        <v>1</v>
      </c>
      <c r="J87" s="310">
        <v>16.4</v>
      </c>
      <c r="K87" s="310">
        <v>1</v>
      </c>
      <c r="L87" s="348"/>
      <c r="M87" s="346">
        <f t="shared" si="4"/>
        <v>0.92</v>
      </c>
      <c r="N87" s="346">
        <f t="shared" si="5"/>
        <v>15.088</v>
      </c>
      <c r="O87" s="348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09"/>
      <c r="CL87" s="309"/>
      <c r="CM87" s="309"/>
      <c r="CN87" s="309"/>
      <c r="CO87" s="309"/>
      <c r="CP87" s="309"/>
      <c r="CQ87" s="309"/>
      <c r="CR87" s="309"/>
      <c r="CS87" s="309"/>
      <c r="CT87" s="309"/>
      <c r="CU87" s="309"/>
      <c r="CV87" s="309"/>
      <c r="CW87" s="309"/>
      <c r="CX87" s="309"/>
      <c r="CY87" s="309"/>
      <c r="CZ87" s="309"/>
      <c r="DA87" s="309"/>
      <c r="DB87" s="309"/>
      <c r="DC87" s="309"/>
      <c r="DD87" s="309"/>
      <c r="DE87" s="309"/>
      <c r="DF87" s="309"/>
      <c r="DG87" s="309"/>
      <c r="DH87" s="309"/>
      <c r="DI87" s="309"/>
      <c r="DJ87" s="309"/>
      <c r="DK87" s="309"/>
      <c r="DL87" s="309"/>
      <c r="DM87" s="309"/>
      <c r="DN87" s="309"/>
      <c r="DO87" s="309"/>
      <c r="DP87" s="309"/>
      <c r="DQ87" s="309"/>
      <c r="DR87" s="309"/>
      <c r="DS87" s="309"/>
      <c r="DT87" s="309"/>
      <c r="DU87" s="309"/>
      <c r="DV87" s="309"/>
      <c r="DW87" s="309"/>
      <c r="DX87" s="309"/>
      <c r="DY87" s="309"/>
      <c r="DZ87" s="309"/>
      <c r="EA87" s="309"/>
      <c r="EB87" s="309"/>
      <c r="EC87" s="309"/>
      <c r="ED87" s="309"/>
      <c r="EE87" s="309"/>
      <c r="EF87" s="309"/>
      <c r="EG87" s="309"/>
      <c r="EH87" s="309"/>
      <c r="EI87" s="309"/>
      <c r="EJ87" s="309"/>
      <c r="EK87" s="309"/>
      <c r="EL87" s="309"/>
      <c r="EM87" s="309"/>
      <c r="EN87" s="309"/>
      <c r="EO87" s="309"/>
      <c r="EP87" s="309"/>
      <c r="EQ87" s="309"/>
      <c r="ER87" s="309"/>
      <c r="ES87" s="309"/>
      <c r="ET87" s="309"/>
      <c r="EU87" s="309"/>
      <c r="EV87" s="309"/>
      <c r="EW87" s="309"/>
      <c r="EX87" s="309"/>
      <c r="EY87" s="309"/>
      <c r="EZ87" s="309"/>
      <c r="FA87" s="309"/>
      <c r="FB87" s="309"/>
      <c r="FC87" s="309"/>
      <c r="FD87" s="309"/>
      <c r="FE87" s="309"/>
      <c r="FF87" s="309"/>
      <c r="FG87" s="309"/>
      <c r="FH87" s="309"/>
      <c r="FI87" s="309"/>
      <c r="FJ87" s="309"/>
      <c r="FK87" s="309"/>
      <c r="FL87" s="309"/>
      <c r="FM87" s="309"/>
      <c r="FN87" s="309"/>
      <c r="FO87" s="309"/>
      <c r="FP87" s="309"/>
      <c r="FQ87" s="309"/>
      <c r="FR87" s="309"/>
      <c r="FS87" s="309"/>
      <c r="FT87" s="309"/>
      <c r="FU87" s="309"/>
      <c r="FV87" s="309"/>
      <c r="FW87" s="309"/>
      <c r="FX87" s="309"/>
      <c r="FY87" s="309"/>
      <c r="FZ87" s="309"/>
      <c r="GA87" s="309"/>
      <c r="GB87" s="309"/>
      <c r="GC87" s="309"/>
      <c r="GD87" s="309"/>
      <c r="GE87" s="309"/>
      <c r="GF87" s="309"/>
      <c r="GG87" s="309"/>
      <c r="GH87" s="309"/>
      <c r="GI87" s="309"/>
      <c r="GJ87" s="309"/>
      <c r="GK87" s="309"/>
      <c r="GL87" s="309"/>
      <c r="GM87" s="309"/>
      <c r="GN87" s="309"/>
      <c r="GO87" s="309"/>
      <c r="GP87" s="309"/>
      <c r="GQ87" s="309"/>
      <c r="GR87" s="309"/>
      <c r="GS87" s="309"/>
      <c r="GT87" s="309"/>
      <c r="GU87" s="309"/>
      <c r="GV87" s="309"/>
      <c r="GW87" s="309"/>
      <c r="GX87" s="309"/>
      <c r="GY87" s="309"/>
      <c r="GZ87" s="309"/>
      <c r="HA87" s="309"/>
      <c r="HB87" s="309"/>
      <c r="HC87" s="309"/>
      <c r="HD87" s="309"/>
      <c r="HE87" s="309"/>
      <c r="HF87" s="309"/>
      <c r="HG87" s="309"/>
      <c r="HH87" s="309"/>
      <c r="HI87" s="309"/>
      <c r="HJ87" s="309"/>
      <c r="HK87" s="309"/>
      <c r="HL87" s="309"/>
      <c r="HM87" s="309"/>
      <c r="HN87" s="309"/>
      <c r="HO87" s="309"/>
      <c r="HP87" s="309"/>
      <c r="HQ87" s="309"/>
      <c r="HR87" s="309"/>
      <c r="HS87" s="309"/>
      <c r="HT87" s="309"/>
      <c r="HU87" s="309"/>
      <c r="HV87" s="309"/>
      <c r="HW87" s="309"/>
      <c r="HX87" s="309"/>
      <c r="HY87" s="309"/>
      <c r="HZ87" s="309"/>
      <c r="IA87" s="309"/>
      <c r="IB87" s="309"/>
      <c r="IC87" s="309"/>
      <c r="ID87" s="309"/>
      <c r="IE87" s="309"/>
    </row>
    <row r="88" spans="1:239" ht="25.5">
      <c r="A88" s="310">
        <v>80</v>
      </c>
      <c r="B88" s="360">
        <v>42962</v>
      </c>
      <c r="C88" s="307" t="s">
        <v>517</v>
      </c>
      <c r="D88" s="310" t="s">
        <v>590</v>
      </c>
      <c r="E88" s="310">
        <v>0.4</v>
      </c>
      <c r="F88" s="355" t="s">
        <v>711</v>
      </c>
      <c r="G88" s="310" t="s">
        <v>522</v>
      </c>
      <c r="H88" s="310">
        <v>5.17</v>
      </c>
      <c r="I88" s="310">
        <v>1</v>
      </c>
      <c r="J88" s="310">
        <v>8.1</v>
      </c>
      <c r="K88" s="310">
        <v>1</v>
      </c>
      <c r="L88" s="348"/>
      <c r="M88" s="346">
        <f t="shared" si="4"/>
        <v>5.17</v>
      </c>
      <c r="N88" s="346">
        <f t="shared" si="5"/>
        <v>41.876999999999995</v>
      </c>
      <c r="O88" s="348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09"/>
      <c r="DB88" s="309"/>
      <c r="DC88" s="309"/>
      <c r="DD88" s="309"/>
      <c r="DE88" s="309"/>
      <c r="DF88" s="309"/>
      <c r="DG88" s="309"/>
      <c r="DH88" s="309"/>
      <c r="DI88" s="309"/>
      <c r="DJ88" s="309"/>
      <c r="DK88" s="309"/>
      <c r="DL88" s="309"/>
      <c r="DM88" s="309"/>
      <c r="DN88" s="309"/>
      <c r="DO88" s="309"/>
      <c r="DP88" s="309"/>
      <c r="DQ88" s="309"/>
      <c r="DR88" s="309"/>
      <c r="DS88" s="309"/>
      <c r="DT88" s="309"/>
      <c r="DU88" s="309"/>
      <c r="DV88" s="309"/>
      <c r="DW88" s="309"/>
      <c r="DX88" s="309"/>
      <c r="DY88" s="309"/>
      <c r="DZ88" s="309"/>
      <c r="EA88" s="309"/>
      <c r="EB88" s="309"/>
      <c r="EC88" s="309"/>
      <c r="ED88" s="309"/>
      <c r="EE88" s="309"/>
      <c r="EF88" s="309"/>
      <c r="EG88" s="309"/>
      <c r="EH88" s="309"/>
      <c r="EI88" s="309"/>
      <c r="EJ88" s="309"/>
      <c r="EK88" s="309"/>
      <c r="EL88" s="309"/>
      <c r="EM88" s="309"/>
      <c r="EN88" s="309"/>
      <c r="EO88" s="309"/>
      <c r="EP88" s="309"/>
      <c r="EQ88" s="309"/>
      <c r="ER88" s="309"/>
      <c r="ES88" s="309"/>
      <c r="ET88" s="309"/>
      <c r="EU88" s="309"/>
      <c r="EV88" s="309"/>
      <c r="EW88" s="309"/>
      <c r="EX88" s="309"/>
      <c r="EY88" s="309"/>
      <c r="EZ88" s="309"/>
      <c r="FA88" s="309"/>
      <c r="FB88" s="309"/>
      <c r="FC88" s="309"/>
      <c r="FD88" s="309"/>
      <c r="FE88" s="309"/>
      <c r="FF88" s="309"/>
      <c r="FG88" s="309"/>
      <c r="FH88" s="309"/>
      <c r="FI88" s="309"/>
      <c r="FJ88" s="309"/>
      <c r="FK88" s="309"/>
      <c r="FL88" s="309"/>
      <c r="FM88" s="309"/>
      <c r="FN88" s="309"/>
      <c r="FO88" s="309"/>
      <c r="FP88" s="309"/>
      <c r="FQ88" s="309"/>
      <c r="FR88" s="309"/>
      <c r="FS88" s="309"/>
      <c r="FT88" s="309"/>
      <c r="FU88" s="309"/>
      <c r="FV88" s="309"/>
      <c r="FW88" s="309"/>
      <c r="FX88" s="309"/>
      <c r="FY88" s="309"/>
      <c r="FZ88" s="309"/>
      <c r="GA88" s="309"/>
      <c r="GB88" s="309"/>
      <c r="GC88" s="309"/>
      <c r="GD88" s="309"/>
      <c r="GE88" s="309"/>
      <c r="GF88" s="309"/>
      <c r="GG88" s="309"/>
      <c r="GH88" s="309"/>
      <c r="GI88" s="309"/>
      <c r="GJ88" s="309"/>
      <c r="GK88" s="309"/>
      <c r="GL88" s="309"/>
      <c r="GM88" s="309"/>
      <c r="GN88" s="309"/>
      <c r="GO88" s="309"/>
      <c r="GP88" s="309"/>
      <c r="GQ88" s="309"/>
      <c r="GR88" s="309"/>
      <c r="GS88" s="309"/>
      <c r="GT88" s="309"/>
      <c r="GU88" s="309"/>
      <c r="GV88" s="309"/>
      <c r="GW88" s="309"/>
      <c r="GX88" s="309"/>
      <c r="GY88" s="309"/>
      <c r="GZ88" s="309"/>
      <c r="HA88" s="309"/>
      <c r="HB88" s="309"/>
      <c r="HC88" s="309"/>
      <c r="HD88" s="309"/>
      <c r="HE88" s="309"/>
      <c r="HF88" s="309"/>
      <c r="HG88" s="309"/>
      <c r="HH88" s="309"/>
      <c r="HI88" s="309"/>
      <c r="HJ88" s="309"/>
      <c r="HK88" s="309"/>
      <c r="HL88" s="309"/>
      <c r="HM88" s="309"/>
      <c r="HN88" s="309"/>
      <c r="HO88" s="309"/>
      <c r="HP88" s="309"/>
      <c r="HQ88" s="309"/>
      <c r="HR88" s="309"/>
      <c r="HS88" s="309"/>
      <c r="HT88" s="309"/>
      <c r="HU88" s="309"/>
      <c r="HV88" s="309"/>
      <c r="HW88" s="309"/>
      <c r="HX88" s="309"/>
      <c r="HY88" s="309"/>
      <c r="HZ88" s="309"/>
      <c r="IA88" s="309"/>
      <c r="IB88" s="309"/>
      <c r="IC88" s="309"/>
      <c r="ID88" s="309"/>
      <c r="IE88" s="309"/>
    </row>
    <row r="89" spans="1:239" ht="25.5">
      <c r="A89" s="310">
        <v>81</v>
      </c>
      <c r="B89" s="360">
        <v>42962</v>
      </c>
      <c r="C89" s="307" t="s">
        <v>517</v>
      </c>
      <c r="D89" s="310" t="s">
        <v>591</v>
      </c>
      <c r="E89" s="310">
        <v>0.4</v>
      </c>
      <c r="F89" s="355" t="s">
        <v>711</v>
      </c>
      <c r="G89" s="310" t="s">
        <v>522</v>
      </c>
      <c r="H89" s="310">
        <v>5.17</v>
      </c>
      <c r="I89" s="310">
        <v>1</v>
      </c>
      <c r="J89" s="310">
        <v>9.55</v>
      </c>
      <c r="K89" s="310">
        <v>1</v>
      </c>
      <c r="L89" s="348"/>
      <c r="M89" s="346">
        <f t="shared" si="4"/>
        <v>5.17</v>
      </c>
      <c r="N89" s="346">
        <f t="shared" si="5"/>
        <v>49.3735</v>
      </c>
      <c r="O89" s="348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09"/>
      <c r="DC89" s="309"/>
      <c r="DD89" s="309"/>
      <c r="DE89" s="309"/>
      <c r="DF89" s="309"/>
      <c r="DG89" s="309"/>
      <c r="DH89" s="309"/>
      <c r="DI89" s="309"/>
      <c r="DJ89" s="309"/>
      <c r="DK89" s="309"/>
      <c r="DL89" s="309"/>
      <c r="DM89" s="309"/>
      <c r="DN89" s="309"/>
      <c r="DO89" s="309"/>
      <c r="DP89" s="309"/>
      <c r="DQ89" s="309"/>
      <c r="DR89" s="309"/>
      <c r="DS89" s="309"/>
      <c r="DT89" s="309"/>
      <c r="DU89" s="309"/>
      <c r="DV89" s="309"/>
      <c r="DW89" s="309"/>
      <c r="DX89" s="309"/>
      <c r="DY89" s="309"/>
      <c r="DZ89" s="309"/>
      <c r="EA89" s="309"/>
      <c r="EB89" s="309"/>
      <c r="EC89" s="309"/>
      <c r="ED89" s="309"/>
      <c r="EE89" s="309"/>
      <c r="EF89" s="309"/>
      <c r="EG89" s="309"/>
      <c r="EH89" s="309"/>
      <c r="EI89" s="309"/>
      <c r="EJ89" s="309"/>
      <c r="EK89" s="309"/>
      <c r="EL89" s="309"/>
      <c r="EM89" s="309"/>
      <c r="EN89" s="309"/>
      <c r="EO89" s="309"/>
      <c r="EP89" s="309"/>
      <c r="EQ89" s="309"/>
      <c r="ER89" s="309"/>
      <c r="ES89" s="309"/>
      <c r="ET89" s="309"/>
      <c r="EU89" s="309"/>
      <c r="EV89" s="309"/>
      <c r="EW89" s="309"/>
      <c r="EX89" s="309"/>
      <c r="EY89" s="309"/>
      <c r="EZ89" s="309"/>
      <c r="FA89" s="309"/>
      <c r="FB89" s="309"/>
      <c r="FC89" s="309"/>
      <c r="FD89" s="309"/>
      <c r="FE89" s="309"/>
      <c r="FF89" s="309"/>
      <c r="FG89" s="309"/>
      <c r="FH89" s="309"/>
      <c r="FI89" s="309"/>
      <c r="FJ89" s="309"/>
      <c r="FK89" s="309"/>
      <c r="FL89" s="309"/>
      <c r="FM89" s="309"/>
      <c r="FN89" s="309"/>
      <c r="FO89" s="309"/>
      <c r="FP89" s="309"/>
      <c r="FQ89" s="309"/>
      <c r="FR89" s="309"/>
      <c r="FS89" s="309"/>
      <c r="FT89" s="309"/>
      <c r="FU89" s="309"/>
      <c r="FV89" s="309"/>
      <c r="FW89" s="309"/>
      <c r="FX89" s="309"/>
      <c r="FY89" s="309"/>
      <c r="FZ89" s="309"/>
      <c r="GA89" s="309"/>
      <c r="GB89" s="309"/>
      <c r="GC89" s="309"/>
      <c r="GD89" s="309"/>
      <c r="GE89" s="309"/>
      <c r="GF89" s="309"/>
      <c r="GG89" s="309"/>
      <c r="GH89" s="309"/>
      <c r="GI89" s="309"/>
      <c r="GJ89" s="309"/>
      <c r="GK89" s="309"/>
      <c r="GL89" s="309"/>
      <c r="GM89" s="309"/>
      <c r="GN89" s="309"/>
      <c r="GO89" s="309"/>
      <c r="GP89" s="309"/>
      <c r="GQ89" s="309"/>
      <c r="GR89" s="309"/>
      <c r="GS89" s="309"/>
      <c r="GT89" s="309"/>
      <c r="GU89" s="309"/>
      <c r="GV89" s="309"/>
      <c r="GW89" s="309"/>
      <c r="GX89" s="309"/>
      <c r="GY89" s="309"/>
      <c r="GZ89" s="309"/>
      <c r="HA89" s="309"/>
      <c r="HB89" s="309"/>
      <c r="HC89" s="309"/>
      <c r="HD89" s="309"/>
      <c r="HE89" s="309"/>
      <c r="HF89" s="309"/>
      <c r="HG89" s="309"/>
      <c r="HH89" s="309"/>
      <c r="HI89" s="309"/>
      <c r="HJ89" s="309"/>
      <c r="HK89" s="309"/>
      <c r="HL89" s="309"/>
      <c r="HM89" s="309"/>
      <c r="HN89" s="309"/>
      <c r="HO89" s="309"/>
      <c r="HP89" s="309"/>
      <c r="HQ89" s="309"/>
      <c r="HR89" s="309"/>
      <c r="HS89" s="309"/>
      <c r="HT89" s="309"/>
      <c r="HU89" s="309"/>
      <c r="HV89" s="309"/>
      <c r="HW89" s="309"/>
      <c r="HX89" s="309"/>
      <c r="HY89" s="309"/>
      <c r="HZ89" s="309"/>
      <c r="IA89" s="309"/>
      <c r="IB89" s="309"/>
      <c r="IC89" s="309"/>
      <c r="ID89" s="309"/>
      <c r="IE89" s="309"/>
    </row>
    <row r="90" spans="1:239" ht="25.5">
      <c r="A90" s="310">
        <v>82</v>
      </c>
      <c r="B90" s="360">
        <v>42965</v>
      </c>
      <c r="C90" s="307" t="s">
        <v>517</v>
      </c>
      <c r="D90" s="310" t="s">
        <v>592</v>
      </c>
      <c r="E90" s="310">
        <v>0.4</v>
      </c>
      <c r="F90" s="355" t="s">
        <v>711</v>
      </c>
      <c r="G90" s="310" t="s">
        <v>522</v>
      </c>
      <c r="H90" s="310">
        <v>4</v>
      </c>
      <c r="I90" s="310">
        <v>2</v>
      </c>
      <c r="J90" s="310">
        <v>2.28</v>
      </c>
      <c r="K90" s="310">
        <v>1</v>
      </c>
      <c r="L90" s="348"/>
      <c r="M90" s="346">
        <f t="shared" si="4"/>
        <v>8</v>
      </c>
      <c r="N90" s="346">
        <f t="shared" si="5"/>
        <v>9.12</v>
      </c>
      <c r="O90" s="348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09"/>
      <c r="CN90" s="309"/>
      <c r="CO90" s="309"/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09"/>
      <c r="DC90" s="309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09"/>
      <c r="EH90" s="309"/>
      <c r="EI90" s="309"/>
      <c r="EJ90" s="309"/>
      <c r="EK90" s="309"/>
      <c r="EL90" s="309"/>
      <c r="EM90" s="309"/>
      <c r="EN90" s="309"/>
      <c r="EO90" s="309"/>
      <c r="EP90" s="309"/>
      <c r="EQ90" s="309"/>
      <c r="ER90" s="309"/>
      <c r="ES90" s="309"/>
      <c r="ET90" s="309"/>
      <c r="EU90" s="309"/>
      <c r="EV90" s="309"/>
      <c r="EW90" s="309"/>
      <c r="EX90" s="309"/>
      <c r="EY90" s="309"/>
      <c r="EZ90" s="309"/>
      <c r="FA90" s="309"/>
      <c r="FB90" s="309"/>
      <c r="FC90" s="309"/>
      <c r="FD90" s="309"/>
      <c r="FE90" s="309"/>
      <c r="FF90" s="309"/>
      <c r="FG90" s="309"/>
      <c r="FH90" s="309"/>
      <c r="FI90" s="309"/>
      <c r="FJ90" s="309"/>
      <c r="FK90" s="309"/>
      <c r="FL90" s="309"/>
      <c r="FM90" s="309"/>
      <c r="FN90" s="309"/>
      <c r="FO90" s="309"/>
      <c r="FP90" s="309"/>
      <c r="FQ90" s="309"/>
      <c r="FR90" s="309"/>
      <c r="FS90" s="309"/>
      <c r="FT90" s="309"/>
      <c r="FU90" s="309"/>
      <c r="FV90" s="309"/>
      <c r="FW90" s="309"/>
      <c r="FX90" s="309"/>
      <c r="FY90" s="309"/>
      <c r="FZ90" s="309"/>
      <c r="GA90" s="309"/>
      <c r="GB90" s="309"/>
      <c r="GC90" s="309"/>
      <c r="GD90" s="309"/>
      <c r="GE90" s="309"/>
      <c r="GF90" s="309"/>
      <c r="GG90" s="309"/>
      <c r="GH90" s="309"/>
      <c r="GI90" s="309"/>
      <c r="GJ90" s="309"/>
      <c r="GK90" s="309"/>
      <c r="GL90" s="309"/>
      <c r="GM90" s="309"/>
      <c r="GN90" s="309"/>
      <c r="GO90" s="309"/>
      <c r="GP90" s="309"/>
      <c r="GQ90" s="309"/>
      <c r="GR90" s="309"/>
      <c r="GS90" s="309"/>
      <c r="GT90" s="309"/>
      <c r="GU90" s="309"/>
      <c r="GV90" s="309"/>
      <c r="GW90" s="309"/>
      <c r="GX90" s="309"/>
      <c r="GY90" s="309"/>
      <c r="GZ90" s="309"/>
      <c r="HA90" s="309"/>
      <c r="HB90" s="309"/>
      <c r="HC90" s="309"/>
      <c r="HD90" s="309"/>
      <c r="HE90" s="309"/>
      <c r="HF90" s="309"/>
      <c r="HG90" s="309"/>
      <c r="HH90" s="309"/>
      <c r="HI90" s="309"/>
      <c r="HJ90" s="309"/>
      <c r="HK90" s="309"/>
      <c r="HL90" s="309"/>
      <c r="HM90" s="309"/>
      <c r="HN90" s="309"/>
      <c r="HO90" s="309"/>
      <c r="HP90" s="309"/>
      <c r="HQ90" s="309"/>
      <c r="HR90" s="309"/>
      <c r="HS90" s="309"/>
      <c r="HT90" s="309"/>
      <c r="HU90" s="309"/>
      <c r="HV90" s="309"/>
      <c r="HW90" s="309"/>
      <c r="HX90" s="309"/>
      <c r="HY90" s="309"/>
      <c r="HZ90" s="309"/>
      <c r="IA90" s="309"/>
      <c r="IB90" s="309"/>
      <c r="IC90" s="309"/>
      <c r="ID90" s="309"/>
      <c r="IE90" s="309"/>
    </row>
    <row r="91" spans="1:239" ht="25.5">
      <c r="A91" s="310">
        <v>83</v>
      </c>
      <c r="B91" s="360">
        <v>42965</v>
      </c>
      <c r="C91" s="307" t="s">
        <v>517</v>
      </c>
      <c r="D91" s="310" t="s">
        <v>593</v>
      </c>
      <c r="E91" s="310">
        <v>0.4</v>
      </c>
      <c r="F91" s="355" t="s">
        <v>711</v>
      </c>
      <c r="G91" s="310" t="s">
        <v>522</v>
      </c>
      <c r="H91" s="310">
        <v>4</v>
      </c>
      <c r="I91" s="310">
        <v>4</v>
      </c>
      <c r="J91" s="310">
        <v>7.06</v>
      </c>
      <c r="K91" s="310">
        <v>1</v>
      </c>
      <c r="L91" s="348"/>
      <c r="M91" s="346">
        <f t="shared" si="4"/>
        <v>16</v>
      </c>
      <c r="N91" s="346">
        <f t="shared" si="5"/>
        <v>28.24</v>
      </c>
      <c r="O91" s="348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309"/>
      <c r="EY91" s="309"/>
      <c r="EZ91" s="309"/>
      <c r="FA91" s="309"/>
      <c r="FB91" s="309"/>
      <c r="FC91" s="309"/>
      <c r="FD91" s="309"/>
      <c r="FE91" s="309"/>
      <c r="FF91" s="309"/>
      <c r="FG91" s="309"/>
      <c r="FH91" s="309"/>
      <c r="FI91" s="309"/>
      <c r="FJ91" s="309"/>
      <c r="FK91" s="309"/>
      <c r="FL91" s="309"/>
      <c r="FM91" s="309"/>
      <c r="FN91" s="309"/>
      <c r="FO91" s="309"/>
      <c r="FP91" s="309"/>
      <c r="FQ91" s="309"/>
      <c r="FR91" s="309"/>
      <c r="FS91" s="309"/>
      <c r="FT91" s="309"/>
      <c r="FU91" s="309"/>
      <c r="FV91" s="309"/>
      <c r="FW91" s="309"/>
      <c r="FX91" s="309"/>
      <c r="FY91" s="309"/>
      <c r="FZ91" s="309"/>
      <c r="GA91" s="309"/>
      <c r="GB91" s="309"/>
      <c r="GC91" s="309"/>
      <c r="GD91" s="309"/>
      <c r="GE91" s="309"/>
      <c r="GF91" s="309"/>
      <c r="GG91" s="309"/>
      <c r="GH91" s="309"/>
      <c r="GI91" s="309"/>
      <c r="GJ91" s="309"/>
      <c r="GK91" s="309"/>
      <c r="GL91" s="309"/>
      <c r="GM91" s="309"/>
      <c r="GN91" s="309"/>
      <c r="GO91" s="309"/>
      <c r="GP91" s="309"/>
      <c r="GQ91" s="309"/>
      <c r="GR91" s="309"/>
      <c r="GS91" s="309"/>
      <c r="GT91" s="309"/>
      <c r="GU91" s="309"/>
      <c r="GV91" s="309"/>
      <c r="GW91" s="309"/>
      <c r="GX91" s="309"/>
      <c r="GY91" s="309"/>
      <c r="GZ91" s="309"/>
      <c r="HA91" s="309"/>
      <c r="HB91" s="309"/>
      <c r="HC91" s="309"/>
      <c r="HD91" s="309"/>
      <c r="HE91" s="309"/>
      <c r="HF91" s="309"/>
      <c r="HG91" s="309"/>
      <c r="HH91" s="309"/>
      <c r="HI91" s="309"/>
      <c r="HJ91" s="309"/>
      <c r="HK91" s="309"/>
      <c r="HL91" s="309"/>
      <c r="HM91" s="309"/>
      <c r="HN91" s="309"/>
      <c r="HO91" s="309"/>
      <c r="HP91" s="309"/>
      <c r="HQ91" s="309"/>
      <c r="HR91" s="309"/>
      <c r="HS91" s="309"/>
      <c r="HT91" s="309"/>
      <c r="HU91" s="309"/>
      <c r="HV91" s="309"/>
      <c r="HW91" s="309"/>
      <c r="HX91" s="309"/>
      <c r="HY91" s="309"/>
      <c r="HZ91" s="309"/>
      <c r="IA91" s="309"/>
      <c r="IB91" s="309"/>
      <c r="IC91" s="309"/>
      <c r="ID91" s="309"/>
      <c r="IE91" s="309"/>
    </row>
    <row r="92" spans="1:239" ht="25.5">
      <c r="A92" s="310">
        <v>84</v>
      </c>
      <c r="B92" s="360">
        <v>42969</v>
      </c>
      <c r="C92" s="307" t="s">
        <v>517</v>
      </c>
      <c r="D92" s="310" t="s">
        <v>530</v>
      </c>
      <c r="E92" s="310">
        <v>10</v>
      </c>
      <c r="F92" s="355" t="s">
        <v>711</v>
      </c>
      <c r="G92" s="310" t="s">
        <v>522</v>
      </c>
      <c r="H92" s="310">
        <v>5.58</v>
      </c>
      <c r="I92" s="310">
        <v>6</v>
      </c>
      <c r="J92" s="310">
        <v>132.66</v>
      </c>
      <c r="K92" s="310">
        <v>1</v>
      </c>
      <c r="L92" s="348"/>
      <c r="M92" s="346">
        <f t="shared" si="4"/>
        <v>33.480000000000004</v>
      </c>
      <c r="N92" s="346">
        <f t="shared" si="5"/>
        <v>740.2428</v>
      </c>
      <c r="O92" s="348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09"/>
      <c r="CN92" s="309"/>
      <c r="CO92" s="309"/>
      <c r="CP92" s="309"/>
      <c r="CQ92" s="309"/>
      <c r="CR92" s="309"/>
      <c r="CS92" s="309"/>
      <c r="CT92" s="309"/>
      <c r="CU92" s="309"/>
      <c r="CV92" s="309"/>
      <c r="CW92" s="309"/>
      <c r="CX92" s="309"/>
      <c r="CY92" s="309"/>
      <c r="CZ92" s="309"/>
      <c r="DA92" s="309"/>
      <c r="DB92" s="309"/>
      <c r="DC92" s="309"/>
      <c r="DD92" s="309"/>
      <c r="DE92" s="309"/>
      <c r="DF92" s="309"/>
      <c r="DG92" s="309"/>
      <c r="DH92" s="309"/>
      <c r="DI92" s="309"/>
      <c r="DJ92" s="309"/>
      <c r="DK92" s="309"/>
      <c r="DL92" s="309"/>
      <c r="DM92" s="309"/>
      <c r="DN92" s="309"/>
      <c r="DO92" s="309"/>
      <c r="DP92" s="309"/>
      <c r="DQ92" s="309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309"/>
      <c r="EF92" s="309"/>
      <c r="EG92" s="309"/>
      <c r="EH92" s="309"/>
      <c r="EI92" s="309"/>
      <c r="EJ92" s="309"/>
      <c r="EK92" s="309"/>
      <c r="EL92" s="309"/>
      <c r="EM92" s="309"/>
      <c r="EN92" s="309"/>
      <c r="EO92" s="309"/>
      <c r="EP92" s="309"/>
      <c r="EQ92" s="309"/>
      <c r="ER92" s="309"/>
      <c r="ES92" s="309"/>
      <c r="ET92" s="309"/>
      <c r="EU92" s="309"/>
      <c r="EV92" s="309"/>
      <c r="EW92" s="309"/>
      <c r="EX92" s="309"/>
      <c r="EY92" s="309"/>
      <c r="EZ92" s="309"/>
      <c r="FA92" s="309"/>
      <c r="FB92" s="309"/>
      <c r="FC92" s="309"/>
      <c r="FD92" s="309"/>
      <c r="FE92" s="309"/>
      <c r="FF92" s="309"/>
      <c r="FG92" s="309"/>
      <c r="FH92" s="309"/>
      <c r="FI92" s="309"/>
      <c r="FJ92" s="309"/>
      <c r="FK92" s="309"/>
      <c r="FL92" s="309"/>
      <c r="FM92" s="309"/>
      <c r="FN92" s="309"/>
      <c r="FO92" s="309"/>
      <c r="FP92" s="309"/>
      <c r="FQ92" s="309"/>
      <c r="FR92" s="309"/>
      <c r="FS92" s="309"/>
      <c r="FT92" s="309"/>
      <c r="FU92" s="309"/>
      <c r="FV92" s="309"/>
      <c r="FW92" s="309"/>
      <c r="FX92" s="309"/>
      <c r="FY92" s="309"/>
      <c r="FZ92" s="309"/>
      <c r="GA92" s="309"/>
      <c r="GB92" s="309"/>
      <c r="GC92" s="309"/>
      <c r="GD92" s="309"/>
      <c r="GE92" s="309"/>
      <c r="GF92" s="309"/>
      <c r="GG92" s="309"/>
      <c r="GH92" s="309"/>
      <c r="GI92" s="309"/>
      <c r="GJ92" s="309"/>
      <c r="GK92" s="309"/>
      <c r="GL92" s="309"/>
      <c r="GM92" s="309"/>
      <c r="GN92" s="309"/>
      <c r="GO92" s="309"/>
      <c r="GP92" s="309"/>
      <c r="GQ92" s="309"/>
      <c r="GR92" s="309"/>
      <c r="GS92" s="309"/>
      <c r="GT92" s="309"/>
      <c r="GU92" s="309"/>
      <c r="GV92" s="309"/>
      <c r="GW92" s="309"/>
      <c r="GX92" s="309"/>
      <c r="GY92" s="309"/>
      <c r="GZ92" s="309"/>
      <c r="HA92" s="309"/>
      <c r="HB92" s="309"/>
      <c r="HC92" s="309"/>
      <c r="HD92" s="309"/>
      <c r="HE92" s="309"/>
      <c r="HF92" s="309"/>
      <c r="HG92" s="309"/>
      <c r="HH92" s="309"/>
      <c r="HI92" s="309"/>
      <c r="HJ92" s="309"/>
      <c r="HK92" s="309"/>
      <c r="HL92" s="309"/>
      <c r="HM92" s="309"/>
      <c r="HN92" s="309"/>
      <c r="HO92" s="309"/>
      <c r="HP92" s="309"/>
      <c r="HQ92" s="309"/>
      <c r="HR92" s="309"/>
      <c r="HS92" s="309"/>
      <c r="HT92" s="309"/>
      <c r="HU92" s="309"/>
      <c r="HV92" s="309"/>
      <c r="HW92" s="309"/>
      <c r="HX92" s="309"/>
      <c r="HY92" s="309"/>
      <c r="HZ92" s="309"/>
      <c r="IA92" s="309"/>
      <c r="IB92" s="309"/>
      <c r="IC92" s="309"/>
      <c r="ID92" s="309"/>
      <c r="IE92" s="309"/>
    </row>
    <row r="93" spans="1:239" ht="25.5">
      <c r="A93" s="310">
        <v>85</v>
      </c>
      <c r="B93" s="360">
        <v>42970</v>
      </c>
      <c r="C93" s="307" t="s">
        <v>517</v>
      </c>
      <c r="D93" s="310" t="s">
        <v>594</v>
      </c>
      <c r="E93" s="310">
        <v>0.4</v>
      </c>
      <c r="F93" s="355" t="s">
        <v>711</v>
      </c>
      <c r="G93" s="310" t="s">
        <v>522</v>
      </c>
      <c r="H93" s="310">
        <v>6.17</v>
      </c>
      <c r="I93" s="310">
        <v>3</v>
      </c>
      <c r="J93" s="310">
        <v>30.31</v>
      </c>
      <c r="K93" s="310">
        <v>1</v>
      </c>
      <c r="L93" s="348"/>
      <c r="M93" s="346">
        <f t="shared" si="4"/>
        <v>18.509999999999998</v>
      </c>
      <c r="N93" s="346">
        <f t="shared" si="5"/>
        <v>187.0127</v>
      </c>
      <c r="O93" s="348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09"/>
      <c r="CP93" s="309"/>
      <c r="CQ93" s="309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09"/>
      <c r="DD93" s="309"/>
      <c r="DE93" s="309"/>
      <c r="DF93" s="309"/>
      <c r="DG93" s="309"/>
      <c r="DH93" s="309"/>
      <c r="DI93" s="309"/>
      <c r="DJ93" s="309"/>
      <c r="DK93" s="309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09"/>
      <c r="EI93" s="309"/>
      <c r="EJ93" s="309"/>
      <c r="EK93" s="309"/>
      <c r="EL93" s="309"/>
      <c r="EM93" s="309"/>
      <c r="EN93" s="309"/>
      <c r="EO93" s="309"/>
      <c r="EP93" s="309"/>
      <c r="EQ93" s="309"/>
      <c r="ER93" s="309"/>
      <c r="ES93" s="309"/>
      <c r="ET93" s="309"/>
      <c r="EU93" s="309"/>
      <c r="EV93" s="309"/>
      <c r="EW93" s="309"/>
      <c r="EX93" s="309"/>
      <c r="EY93" s="309"/>
      <c r="EZ93" s="309"/>
      <c r="FA93" s="309"/>
      <c r="FB93" s="309"/>
      <c r="FC93" s="309"/>
      <c r="FD93" s="309"/>
      <c r="FE93" s="309"/>
      <c r="FF93" s="309"/>
      <c r="FG93" s="309"/>
      <c r="FH93" s="309"/>
      <c r="FI93" s="309"/>
      <c r="FJ93" s="309"/>
      <c r="FK93" s="309"/>
      <c r="FL93" s="309"/>
      <c r="FM93" s="309"/>
      <c r="FN93" s="309"/>
      <c r="FO93" s="309"/>
      <c r="FP93" s="309"/>
      <c r="FQ93" s="309"/>
      <c r="FR93" s="309"/>
      <c r="FS93" s="309"/>
      <c r="FT93" s="309"/>
      <c r="FU93" s="309"/>
      <c r="FV93" s="309"/>
      <c r="FW93" s="309"/>
      <c r="FX93" s="309"/>
      <c r="FY93" s="309"/>
      <c r="FZ93" s="309"/>
      <c r="GA93" s="309"/>
      <c r="GB93" s="309"/>
      <c r="GC93" s="309"/>
      <c r="GD93" s="309"/>
      <c r="GE93" s="309"/>
      <c r="GF93" s="309"/>
      <c r="GG93" s="309"/>
      <c r="GH93" s="309"/>
      <c r="GI93" s="309"/>
      <c r="GJ93" s="309"/>
      <c r="GK93" s="309"/>
      <c r="GL93" s="309"/>
      <c r="GM93" s="309"/>
      <c r="GN93" s="309"/>
      <c r="GO93" s="309"/>
      <c r="GP93" s="309"/>
      <c r="GQ93" s="309"/>
      <c r="GR93" s="309"/>
      <c r="GS93" s="309"/>
      <c r="GT93" s="309"/>
      <c r="GU93" s="309"/>
      <c r="GV93" s="309"/>
      <c r="GW93" s="309"/>
      <c r="GX93" s="309"/>
      <c r="GY93" s="309"/>
      <c r="GZ93" s="309"/>
      <c r="HA93" s="309"/>
      <c r="HB93" s="309"/>
      <c r="HC93" s="309"/>
      <c r="HD93" s="309"/>
      <c r="HE93" s="309"/>
      <c r="HF93" s="309"/>
      <c r="HG93" s="309"/>
      <c r="HH93" s="309"/>
      <c r="HI93" s="309"/>
      <c r="HJ93" s="309"/>
      <c r="HK93" s="309"/>
      <c r="HL93" s="309"/>
      <c r="HM93" s="309"/>
      <c r="HN93" s="309"/>
      <c r="HO93" s="309"/>
      <c r="HP93" s="309"/>
      <c r="HQ93" s="309"/>
      <c r="HR93" s="309"/>
      <c r="HS93" s="309"/>
      <c r="HT93" s="309"/>
      <c r="HU93" s="309"/>
      <c r="HV93" s="309"/>
      <c r="HW93" s="309"/>
      <c r="HX93" s="309"/>
      <c r="HY93" s="309"/>
      <c r="HZ93" s="309"/>
      <c r="IA93" s="309"/>
      <c r="IB93" s="309"/>
      <c r="IC93" s="309"/>
      <c r="ID93" s="309"/>
      <c r="IE93" s="309"/>
    </row>
    <row r="94" spans="1:239" ht="25.5">
      <c r="A94" s="310">
        <v>86</v>
      </c>
      <c r="B94" s="360">
        <v>42971</v>
      </c>
      <c r="C94" s="307" t="s">
        <v>517</v>
      </c>
      <c r="D94" s="310" t="s">
        <v>577</v>
      </c>
      <c r="E94" s="310">
        <v>0.4</v>
      </c>
      <c r="F94" s="355" t="s">
        <v>711</v>
      </c>
      <c r="G94" s="310" t="s">
        <v>522</v>
      </c>
      <c r="H94" s="310">
        <v>7.17</v>
      </c>
      <c r="I94" s="310">
        <v>8</v>
      </c>
      <c r="J94" s="310">
        <v>15.99</v>
      </c>
      <c r="K94" s="310">
        <v>1</v>
      </c>
      <c r="L94" s="348"/>
      <c r="M94" s="346">
        <f t="shared" si="4"/>
        <v>57.36</v>
      </c>
      <c r="N94" s="346">
        <f t="shared" si="5"/>
        <v>114.6483</v>
      </c>
      <c r="O94" s="348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09"/>
      <c r="CP94" s="309"/>
      <c r="CQ94" s="309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09"/>
      <c r="DC94" s="309"/>
      <c r="DD94" s="309"/>
      <c r="DE94" s="309"/>
      <c r="DF94" s="309"/>
      <c r="DG94" s="309"/>
      <c r="DH94" s="309"/>
      <c r="DI94" s="309"/>
      <c r="DJ94" s="309"/>
      <c r="DK94" s="309"/>
      <c r="DL94" s="309"/>
      <c r="DM94" s="309"/>
      <c r="DN94" s="309"/>
      <c r="DO94" s="309"/>
      <c r="DP94" s="309"/>
      <c r="DQ94" s="309"/>
      <c r="DR94" s="309"/>
      <c r="DS94" s="309"/>
      <c r="DT94" s="309"/>
      <c r="DU94" s="309"/>
      <c r="DV94" s="309"/>
      <c r="DW94" s="309"/>
      <c r="DX94" s="309"/>
      <c r="DY94" s="309"/>
      <c r="DZ94" s="309"/>
      <c r="EA94" s="309"/>
      <c r="EB94" s="309"/>
      <c r="EC94" s="309"/>
      <c r="ED94" s="309"/>
      <c r="EE94" s="309"/>
      <c r="EF94" s="309"/>
      <c r="EG94" s="309"/>
      <c r="EH94" s="309"/>
      <c r="EI94" s="309"/>
      <c r="EJ94" s="309"/>
      <c r="EK94" s="309"/>
      <c r="EL94" s="309"/>
      <c r="EM94" s="309"/>
      <c r="EN94" s="309"/>
      <c r="EO94" s="309"/>
      <c r="EP94" s="309"/>
      <c r="EQ94" s="309"/>
      <c r="ER94" s="309"/>
      <c r="ES94" s="309"/>
      <c r="ET94" s="309"/>
      <c r="EU94" s="309"/>
      <c r="EV94" s="309"/>
      <c r="EW94" s="309"/>
      <c r="EX94" s="309"/>
      <c r="EY94" s="309"/>
      <c r="EZ94" s="309"/>
      <c r="FA94" s="309"/>
      <c r="FB94" s="309"/>
      <c r="FC94" s="309"/>
      <c r="FD94" s="309"/>
      <c r="FE94" s="309"/>
      <c r="FF94" s="309"/>
      <c r="FG94" s="309"/>
      <c r="FH94" s="309"/>
      <c r="FI94" s="309"/>
      <c r="FJ94" s="309"/>
      <c r="FK94" s="309"/>
      <c r="FL94" s="309"/>
      <c r="FM94" s="309"/>
      <c r="FN94" s="309"/>
      <c r="FO94" s="309"/>
      <c r="FP94" s="309"/>
      <c r="FQ94" s="309"/>
      <c r="FR94" s="309"/>
      <c r="FS94" s="309"/>
      <c r="FT94" s="309"/>
      <c r="FU94" s="309"/>
      <c r="FV94" s="309"/>
      <c r="FW94" s="309"/>
      <c r="FX94" s="309"/>
      <c r="FY94" s="309"/>
      <c r="FZ94" s="309"/>
      <c r="GA94" s="309"/>
      <c r="GB94" s="309"/>
      <c r="GC94" s="309"/>
      <c r="GD94" s="309"/>
      <c r="GE94" s="309"/>
      <c r="GF94" s="309"/>
      <c r="GG94" s="309"/>
      <c r="GH94" s="309"/>
      <c r="GI94" s="309"/>
      <c r="GJ94" s="309"/>
      <c r="GK94" s="309"/>
      <c r="GL94" s="309"/>
      <c r="GM94" s="309"/>
      <c r="GN94" s="309"/>
      <c r="GO94" s="309"/>
      <c r="GP94" s="309"/>
      <c r="GQ94" s="309"/>
      <c r="GR94" s="309"/>
      <c r="GS94" s="309"/>
      <c r="GT94" s="309"/>
      <c r="GU94" s="309"/>
      <c r="GV94" s="309"/>
      <c r="GW94" s="309"/>
      <c r="GX94" s="309"/>
      <c r="GY94" s="309"/>
      <c r="GZ94" s="309"/>
      <c r="HA94" s="309"/>
      <c r="HB94" s="309"/>
      <c r="HC94" s="309"/>
      <c r="HD94" s="309"/>
      <c r="HE94" s="309"/>
      <c r="HF94" s="309"/>
      <c r="HG94" s="309"/>
      <c r="HH94" s="309"/>
      <c r="HI94" s="309"/>
      <c r="HJ94" s="309"/>
      <c r="HK94" s="309"/>
      <c r="HL94" s="309"/>
      <c r="HM94" s="309"/>
      <c r="HN94" s="309"/>
      <c r="HO94" s="309"/>
      <c r="HP94" s="309"/>
      <c r="HQ94" s="309"/>
      <c r="HR94" s="309"/>
      <c r="HS94" s="309"/>
      <c r="HT94" s="309"/>
      <c r="HU94" s="309"/>
      <c r="HV94" s="309"/>
      <c r="HW94" s="309"/>
      <c r="HX94" s="309"/>
      <c r="HY94" s="309"/>
      <c r="HZ94" s="309"/>
      <c r="IA94" s="309"/>
      <c r="IB94" s="309"/>
      <c r="IC94" s="309"/>
      <c r="ID94" s="309"/>
      <c r="IE94" s="309"/>
    </row>
    <row r="95" spans="1:239" ht="25.5">
      <c r="A95" s="310">
        <v>87</v>
      </c>
      <c r="B95" s="360">
        <v>42972</v>
      </c>
      <c r="C95" s="307" t="s">
        <v>517</v>
      </c>
      <c r="D95" s="310" t="s">
        <v>595</v>
      </c>
      <c r="E95" s="310">
        <v>0.4</v>
      </c>
      <c r="F95" s="355" t="s">
        <v>711</v>
      </c>
      <c r="G95" s="310" t="s">
        <v>522</v>
      </c>
      <c r="H95" s="310">
        <v>6.58</v>
      </c>
      <c r="I95" s="310">
        <v>3</v>
      </c>
      <c r="J95" s="310">
        <v>17.23</v>
      </c>
      <c r="K95" s="310">
        <v>1</v>
      </c>
      <c r="L95" s="348"/>
      <c r="M95" s="346">
        <f t="shared" si="4"/>
        <v>19.740000000000002</v>
      </c>
      <c r="N95" s="346">
        <f t="shared" si="5"/>
        <v>113.3734</v>
      </c>
      <c r="O95" s="348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09"/>
      <c r="DC95" s="309"/>
      <c r="DD95" s="309"/>
      <c r="DE95" s="309"/>
      <c r="DF95" s="309"/>
      <c r="DG95" s="309"/>
      <c r="DH95" s="309"/>
      <c r="DI95" s="309"/>
      <c r="DJ95" s="309"/>
      <c r="DK95" s="309"/>
      <c r="DL95" s="309"/>
      <c r="DM95" s="309"/>
      <c r="DN95" s="309"/>
      <c r="DO95" s="309"/>
      <c r="DP95" s="309"/>
      <c r="DQ95" s="309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309"/>
      <c r="EF95" s="309"/>
      <c r="EG95" s="309"/>
      <c r="EH95" s="309"/>
      <c r="EI95" s="309"/>
      <c r="EJ95" s="309"/>
      <c r="EK95" s="309"/>
      <c r="EL95" s="309"/>
      <c r="EM95" s="309"/>
      <c r="EN95" s="309"/>
      <c r="EO95" s="309"/>
      <c r="EP95" s="309"/>
      <c r="EQ95" s="309"/>
      <c r="ER95" s="309"/>
      <c r="ES95" s="309"/>
      <c r="ET95" s="309"/>
      <c r="EU95" s="309"/>
      <c r="EV95" s="309"/>
      <c r="EW95" s="309"/>
      <c r="EX95" s="309"/>
      <c r="EY95" s="309"/>
      <c r="EZ95" s="309"/>
      <c r="FA95" s="309"/>
      <c r="FB95" s="309"/>
      <c r="FC95" s="309"/>
      <c r="FD95" s="309"/>
      <c r="FE95" s="309"/>
      <c r="FF95" s="309"/>
      <c r="FG95" s="309"/>
      <c r="FH95" s="309"/>
      <c r="FI95" s="309"/>
      <c r="FJ95" s="309"/>
      <c r="FK95" s="309"/>
      <c r="FL95" s="309"/>
      <c r="FM95" s="309"/>
      <c r="FN95" s="309"/>
      <c r="FO95" s="309"/>
      <c r="FP95" s="309"/>
      <c r="FQ95" s="309"/>
      <c r="FR95" s="309"/>
      <c r="FS95" s="309"/>
      <c r="FT95" s="309"/>
      <c r="FU95" s="309"/>
      <c r="FV95" s="309"/>
      <c r="FW95" s="309"/>
      <c r="FX95" s="309"/>
      <c r="FY95" s="309"/>
      <c r="FZ95" s="309"/>
      <c r="GA95" s="309"/>
      <c r="GB95" s="309"/>
      <c r="GC95" s="309"/>
      <c r="GD95" s="309"/>
      <c r="GE95" s="309"/>
      <c r="GF95" s="309"/>
      <c r="GG95" s="309"/>
      <c r="GH95" s="309"/>
      <c r="GI95" s="309"/>
      <c r="GJ95" s="309"/>
      <c r="GK95" s="309"/>
      <c r="GL95" s="309"/>
      <c r="GM95" s="309"/>
      <c r="GN95" s="309"/>
      <c r="GO95" s="309"/>
      <c r="GP95" s="309"/>
      <c r="GQ95" s="309"/>
      <c r="GR95" s="309"/>
      <c r="GS95" s="309"/>
      <c r="GT95" s="309"/>
      <c r="GU95" s="309"/>
      <c r="GV95" s="309"/>
      <c r="GW95" s="309"/>
      <c r="GX95" s="309"/>
      <c r="GY95" s="309"/>
      <c r="GZ95" s="309"/>
      <c r="HA95" s="309"/>
      <c r="HB95" s="309"/>
      <c r="HC95" s="309"/>
      <c r="HD95" s="309"/>
      <c r="HE95" s="309"/>
      <c r="HF95" s="309"/>
      <c r="HG95" s="309"/>
      <c r="HH95" s="309"/>
      <c r="HI95" s="309"/>
      <c r="HJ95" s="309"/>
      <c r="HK95" s="309"/>
      <c r="HL95" s="309"/>
      <c r="HM95" s="309"/>
      <c r="HN95" s="309"/>
      <c r="HO95" s="309"/>
      <c r="HP95" s="309"/>
      <c r="HQ95" s="309"/>
      <c r="HR95" s="309"/>
      <c r="HS95" s="309"/>
      <c r="HT95" s="309"/>
      <c r="HU95" s="309"/>
      <c r="HV95" s="309"/>
      <c r="HW95" s="309"/>
      <c r="HX95" s="309"/>
      <c r="HY95" s="309"/>
      <c r="HZ95" s="309"/>
      <c r="IA95" s="309"/>
      <c r="IB95" s="309"/>
      <c r="IC95" s="309"/>
      <c r="ID95" s="309"/>
      <c r="IE95" s="309"/>
    </row>
    <row r="96" spans="1:239" ht="25.5">
      <c r="A96" s="310">
        <v>88</v>
      </c>
      <c r="B96" s="360">
        <v>42948</v>
      </c>
      <c r="C96" s="307" t="s">
        <v>517</v>
      </c>
      <c r="D96" s="310" t="s">
        <v>596</v>
      </c>
      <c r="E96" s="310">
        <v>0.4</v>
      </c>
      <c r="F96" s="355" t="s">
        <v>711</v>
      </c>
      <c r="G96" s="310" t="s">
        <v>522</v>
      </c>
      <c r="H96" s="310">
        <v>2.92</v>
      </c>
      <c r="I96" s="310">
        <v>1</v>
      </c>
      <c r="J96" s="310">
        <v>16</v>
      </c>
      <c r="K96" s="310">
        <v>1</v>
      </c>
      <c r="L96" s="348"/>
      <c r="M96" s="346">
        <f t="shared" si="4"/>
        <v>2.92</v>
      </c>
      <c r="N96" s="346">
        <f t="shared" si="5"/>
        <v>46.72</v>
      </c>
      <c r="O96" s="348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309"/>
      <c r="CI96" s="309"/>
      <c r="CJ96" s="309"/>
      <c r="CK96" s="309"/>
      <c r="CL96" s="309"/>
      <c r="CM96" s="309"/>
      <c r="CN96" s="309"/>
      <c r="CO96" s="309"/>
      <c r="CP96" s="309"/>
      <c r="CQ96" s="309"/>
      <c r="CR96" s="309"/>
      <c r="CS96" s="309"/>
      <c r="CT96" s="309"/>
      <c r="CU96" s="309"/>
      <c r="CV96" s="309"/>
      <c r="CW96" s="309"/>
      <c r="CX96" s="309"/>
      <c r="CY96" s="309"/>
      <c r="CZ96" s="309"/>
      <c r="DA96" s="309"/>
      <c r="DB96" s="309"/>
      <c r="DC96" s="309"/>
      <c r="DD96" s="309"/>
      <c r="DE96" s="309"/>
      <c r="DF96" s="309"/>
      <c r="DG96" s="309"/>
      <c r="DH96" s="309"/>
      <c r="DI96" s="309"/>
      <c r="DJ96" s="309"/>
      <c r="DK96" s="309"/>
      <c r="DL96" s="309"/>
      <c r="DM96" s="309"/>
      <c r="DN96" s="309"/>
      <c r="DO96" s="309"/>
      <c r="DP96" s="309"/>
      <c r="DQ96" s="309"/>
      <c r="DR96" s="309"/>
      <c r="DS96" s="309"/>
      <c r="DT96" s="309"/>
      <c r="DU96" s="309"/>
      <c r="DV96" s="309"/>
      <c r="DW96" s="309"/>
      <c r="DX96" s="309"/>
      <c r="DY96" s="309"/>
      <c r="DZ96" s="309"/>
      <c r="EA96" s="309"/>
      <c r="EB96" s="309"/>
      <c r="EC96" s="309"/>
      <c r="ED96" s="309"/>
      <c r="EE96" s="309"/>
      <c r="EF96" s="309"/>
      <c r="EG96" s="309"/>
      <c r="EH96" s="309"/>
      <c r="EI96" s="309"/>
      <c r="EJ96" s="309"/>
      <c r="EK96" s="309"/>
      <c r="EL96" s="309"/>
      <c r="EM96" s="309"/>
      <c r="EN96" s="309"/>
      <c r="EO96" s="309"/>
      <c r="EP96" s="309"/>
      <c r="EQ96" s="309"/>
      <c r="ER96" s="309"/>
      <c r="ES96" s="309"/>
      <c r="ET96" s="309"/>
      <c r="EU96" s="309"/>
      <c r="EV96" s="309"/>
      <c r="EW96" s="309"/>
      <c r="EX96" s="309"/>
      <c r="EY96" s="309"/>
      <c r="EZ96" s="309"/>
      <c r="FA96" s="309"/>
      <c r="FB96" s="309"/>
      <c r="FC96" s="309"/>
      <c r="FD96" s="309"/>
      <c r="FE96" s="309"/>
      <c r="FF96" s="309"/>
      <c r="FG96" s="309"/>
      <c r="FH96" s="309"/>
      <c r="FI96" s="309"/>
      <c r="FJ96" s="309"/>
      <c r="FK96" s="309"/>
      <c r="FL96" s="309"/>
      <c r="FM96" s="309"/>
      <c r="FN96" s="309"/>
      <c r="FO96" s="309"/>
      <c r="FP96" s="309"/>
      <c r="FQ96" s="309"/>
      <c r="FR96" s="309"/>
      <c r="FS96" s="309"/>
      <c r="FT96" s="309"/>
      <c r="FU96" s="309"/>
      <c r="FV96" s="309"/>
      <c r="FW96" s="309"/>
      <c r="FX96" s="309"/>
      <c r="FY96" s="309"/>
      <c r="FZ96" s="309"/>
      <c r="GA96" s="309"/>
      <c r="GB96" s="309"/>
      <c r="GC96" s="309"/>
      <c r="GD96" s="309"/>
      <c r="GE96" s="309"/>
      <c r="GF96" s="309"/>
      <c r="GG96" s="309"/>
      <c r="GH96" s="309"/>
      <c r="GI96" s="309"/>
      <c r="GJ96" s="309"/>
      <c r="GK96" s="309"/>
      <c r="GL96" s="309"/>
      <c r="GM96" s="309"/>
      <c r="GN96" s="309"/>
      <c r="GO96" s="309"/>
      <c r="GP96" s="309"/>
      <c r="GQ96" s="309"/>
      <c r="GR96" s="309"/>
      <c r="GS96" s="309"/>
      <c r="GT96" s="309"/>
      <c r="GU96" s="309"/>
      <c r="GV96" s="309"/>
      <c r="GW96" s="309"/>
      <c r="GX96" s="309"/>
      <c r="GY96" s="309"/>
      <c r="GZ96" s="309"/>
      <c r="HA96" s="309"/>
      <c r="HB96" s="309"/>
      <c r="HC96" s="309"/>
      <c r="HD96" s="309"/>
      <c r="HE96" s="309"/>
      <c r="HF96" s="309"/>
      <c r="HG96" s="309"/>
      <c r="HH96" s="309"/>
      <c r="HI96" s="309"/>
      <c r="HJ96" s="309"/>
      <c r="HK96" s="309"/>
      <c r="HL96" s="309"/>
      <c r="HM96" s="309"/>
      <c r="HN96" s="309"/>
      <c r="HO96" s="309"/>
      <c r="HP96" s="309"/>
      <c r="HQ96" s="309"/>
      <c r="HR96" s="309"/>
      <c r="HS96" s="309"/>
      <c r="HT96" s="309"/>
      <c r="HU96" s="309"/>
      <c r="HV96" s="309"/>
      <c r="HW96" s="309"/>
      <c r="HX96" s="309"/>
      <c r="HY96" s="309"/>
      <c r="HZ96" s="309"/>
      <c r="IA96" s="309"/>
      <c r="IB96" s="309"/>
      <c r="IC96" s="309"/>
      <c r="ID96" s="309"/>
      <c r="IE96" s="309"/>
    </row>
    <row r="97" spans="1:239" ht="25.5">
      <c r="A97" s="310">
        <v>89</v>
      </c>
      <c r="B97" s="360">
        <v>42950</v>
      </c>
      <c r="C97" s="307" t="s">
        <v>517</v>
      </c>
      <c r="D97" s="310" t="s">
        <v>597</v>
      </c>
      <c r="E97" s="310">
        <v>0.4</v>
      </c>
      <c r="F97" s="355" t="s">
        <v>711</v>
      </c>
      <c r="G97" s="310" t="s">
        <v>522</v>
      </c>
      <c r="H97" s="310">
        <v>4.58</v>
      </c>
      <c r="I97" s="310">
        <v>1</v>
      </c>
      <c r="J97" s="310">
        <v>11</v>
      </c>
      <c r="K97" s="310">
        <v>1</v>
      </c>
      <c r="L97" s="348"/>
      <c r="M97" s="346">
        <f t="shared" si="4"/>
        <v>4.58</v>
      </c>
      <c r="N97" s="346">
        <f t="shared" si="5"/>
        <v>50.38</v>
      </c>
      <c r="O97" s="348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09"/>
      <c r="DD97" s="309"/>
      <c r="DE97" s="309"/>
      <c r="DF97" s="309"/>
      <c r="DG97" s="309"/>
      <c r="DH97" s="309"/>
      <c r="DI97" s="309"/>
      <c r="DJ97" s="309"/>
      <c r="DK97" s="309"/>
      <c r="DL97" s="309"/>
      <c r="DM97" s="309"/>
      <c r="DN97" s="309"/>
      <c r="DO97" s="309"/>
      <c r="DP97" s="309"/>
      <c r="DQ97" s="309"/>
      <c r="DR97" s="309"/>
      <c r="DS97" s="309"/>
      <c r="DT97" s="309"/>
      <c r="DU97" s="309"/>
      <c r="DV97" s="309"/>
      <c r="DW97" s="309"/>
      <c r="DX97" s="309"/>
      <c r="DY97" s="309"/>
      <c r="DZ97" s="309"/>
      <c r="EA97" s="309"/>
      <c r="EB97" s="309"/>
      <c r="EC97" s="309"/>
      <c r="ED97" s="309"/>
      <c r="EE97" s="309"/>
      <c r="EF97" s="309"/>
      <c r="EG97" s="309"/>
      <c r="EH97" s="309"/>
      <c r="EI97" s="309"/>
      <c r="EJ97" s="309"/>
      <c r="EK97" s="309"/>
      <c r="EL97" s="309"/>
      <c r="EM97" s="309"/>
      <c r="EN97" s="309"/>
      <c r="EO97" s="309"/>
      <c r="EP97" s="309"/>
      <c r="EQ97" s="309"/>
      <c r="ER97" s="309"/>
      <c r="ES97" s="309"/>
      <c r="ET97" s="309"/>
      <c r="EU97" s="309"/>
      <c r="EV97" s="309"/>
      <c r="EW97" s="309"/>
      <c r="EX97" s="309"/>
      <c r="EY97" s="309"/>
      <c r="EZ97" s="309"/>
      <c r="FA97" s="309"/>
      <c r="FB97" s="309"/>
      <c r="FC97" s="309"/>
      <c r="FD97" s="309"/>
      <c r="FE97" s="309"/>
      <c r="FF97" s="309"/>
      <c r="FG97" s="309"/>
      <c r="FH97" s="309"/>
      <c r="FI97" s="309"/>
      <c r="FJ97" s="309"/>
      <c r="FK97" s="309"/>
      <c r="FL97" s="309"/>
      <c r="FM97" s="309"/>
      <c r="FN97" s="309"/>
      <c r="FO97" s="309"/>
      <c r="FP97" s="309"/>
      <c r="FQ97" s="309"/>
      <c r="FR97" s="309"/>
      <c r="FS97" s="309"/>
      <c r="FT97" s="309"/>
      <c r="FU97" s="309"/>
      <c r="FV97" s="309"/>
      <c r="FW97" s="309"/>
      <c r="FX97" s="309"/>
      <c r="FY97" s="309"/>
      <c r="FZ97" s="309"/>
      <c r="GA97" s="309"/>
      <c r="GB97" s="309"/>
      <c r="GC97" s="309"/>
      <c r="GD97" s="309"/>
      <c r="GE97" s="309"/>
      <c r="GF97" s="309"/>
      <c r="GG97" s="309"/>
      <c r="GH97" s="309"/>
      <c r="GI97" s="309"/>
      <c r="GJ97" s="309"/>
      <c r="GK97" s="309"/>
      <c r="GL97" s="309"/>
      <c r="GM97" s="309"/>
      <c r="GN97" s="309"/>
      <c r="GO97" s="309"/>
      <c r="GP97" s="309"/>
      <c r="GQ97" s="309"/>
      <c r="GR97" s="309"/>
      <c r="GS97" s="309"/>
      <c r="GT97" s="309"/>
      <c r="GU97" s="309"/>
      <c r="GV97" s="309"/>
      <c r="GW97" s="309"/>
      <c r="GX97" s="309"/>
      <c r="GY97" s="309"/>
      <c r="GZ97" s="309"/>
      <c r="HA97" s="309"/>
      <c r="HB97" s="309"/>
      <c r="HC97" s="309"/>
      <c r="HD97" s="309"/>
      <c r="HE97" s="309"/>
      <c r="HF97" s="309"/>
      <c r="HG97" s="309"/>
      <c r="HH97" s="309"/>
      <c r="HI97" s="309"/>
      <c r="HJ97" s="309"/>
      <c r="HK97" s="309"/>
      <c r="HL97" s="309"/>
      <c r="HM97" s="309"/>
      <c r="HN97" s="309"/>
      <c r="HO97" s="309"/>
      <c r="HP97" s="309"/>
      <c r="HQ97" s="309"/>
      <c r="HR97" s="309"/>
      <c r="HS97" s="309"/>
      <c r="HT97" s="309"/>
      <c r="HU97" s="309"/>
      <c r="HV97" s="309"/>
      <c r="HW97" s="309"/>
      <c r="HX97" s="309"/>
      <c r="HY97" s="309"/>
      <c r="HZ97" s="309"/>
      <c r="IA97" s="309"/>
      <c r="IB97" s="309"/>
      <c r="IC97" s="309"/>
      <c r="ID97" s="309"/>
      <c r="IE97" s="309"/>
    </row>
    <row r="98" spans="1:239" ht="25.5">
      <c r="A98" s="310">
        <v>90</v>
      </c>
      <c r="B98" s="360">
        <v>42950</v>
      </c>
      <c r="C98" s="307" t="s">
        <v>517</v>
      </c>
      <c r="D98" s="310" t="s">
        <v>598</v>
      </c>
      <c r="E98" s="310">
        <v>0.4</v>
      </c>
      <c r="F98" s="355" t="s">
        <v>711</v>
      </c>
      <c r="G98" s="310" t="s">
        <v>522</v>
      </c>
      <c r="H98" s="310">
        <v>4.58</v>
      </c>
      <c r="I98" s="310">
        <v>1</v>
      </c>
      <c r="J98" s="310">
        <v>18</v>
      </c>
      <c r="K98" s="310">
        <v>1</v>
      </c>
      <c r="L98" s="348"/>
      <c r="M98" s="346">
        <f t="shared" si="4"/>
        <v>4.58</v>
      </c>
      <c r="N98" s="346">
        <f t="shared" si="5"/>
        <v>82.44</v>
      </c>
      <c r="O98" s="348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09"/>
      <c r="DD98" s="309"/>
      <c r="DE98" s="309"/>
      <c r="DF98" s="309"/>
      <c r="DG98" s="309"/>
      <c r="DH98" s="309"/>
      <c r="DI98" s="309"/>
      <c r="DJ98" s="309"/>
      <c r="DK98" s="309"/>
      <c r="DL98" s="309"/>
      <c r="DM98" s="309"/>
      <c r="DN98" s="309"/>
      <c r="DO98" s="309"/>
      <c r="DP98" s="309"/>
      <c r="DQ98" s="309"/>
      <c r="DR98" s="309"/>
      <c r="DS98" s="309"/>
      <c r="DT98" s="309"/>
      <c r="DU98" s="309"/>
      <c r="DV98" s="309"/>
      <c r="DW98" s="309"/>
      <c r="DX98" s="309"/>
      <c r="DY98" s="309"/>
      <c r="DZ98" s="309"/>
      <c r="EA98" s="309"/>
      <c r="EB98" s="309"/>
      <c r="EC98" s="309"/>
      <c r="ED98" s="309"/>
      <c r="EE98" s="309"/>
      <c r="EF98" s="309"/>
      <c r="EG98" s="309"/>
      <c r="EH98" s="309"/>
      <c r="EI98" s="309"/>
      <c r="EJ98" s="309"/>
      <c r="EK98" s="309"/>
      <c r="EL98" s="309"/>
      <c r="EM98" s="309"/>
      <c r="EN98" s="309"/>
      <c r="EO98" s="309"/>
      <c r="EP98" s="309"/>
      <c r="EQ98" s="309"/>
      <c r="ER98" s="309"/>
      <c r="ES98" s="309"/>
      <c r="ET98" s="309"/>
      <c r="EU98" s="309"/>
      <c r="EV98" s="309"/>
      <c r="EW98" s="309"/>
      <c r="EX98" s="309"/>
      <c r="EY98" s="309"/>
      <c r="EZ98" s="309"/>
      <c r="FA98" s="309"/>
      <c r="FB98" s="309"/>
      <c r="FC98" s="309"/>
      <c r="FD98" s="309"/>
      <c r="FE98" s="309"/>
      <c r="FF98" s="309"/>
      <c r="FG98" s="309"/>
      <c r="FH98" s="309"/>
      <c r="FI98" s="309"/>
      <c r="FJ98" s="309"/>
      <c r="FK98" s="309"/>
      <c r="FL98" s="309"/>
      <c r="FM98" s="309"/>
      <c r="FN98" s="309"/>
      <c r="FO98" s="309"/>
      <c r="FP98" s="309"/>
      <c r="FQ98" s="309"/>
      <c r="FR98" s="309"/>
      <c r="FS98" s="309"/>
      <c r="FT98" s="309"/>
      <c r="FU98" s="309"/>
      <c r="FV98" s="309"/>
      <c r="FW98" s="309"/>
      <c r="FX98" s="309"/>
      <c r="FY98" s="309"/>
      <c r="FZ98" s="309"/>
      <c r="GA98" s="309"/>
      <c r="GB98" s="309"/>
      <c r="GC98" s="309"/>
      <c r="GD98" s="309"/>
      <c r="GE98" s="309"/>
      <c r="GF98" s="309"/>
      <c r="GG98" s="309"/>
      <c r="GH98" s="309"/>
      <c r="GI98" s="309"/>
      <c r="GJ98" s="309"/>
      <c r="GK98" s="309"/>
      <c r="GL98" s="309"/>
      <c r="GM98" s="309"/>
      <c r="GN98" s="309"/>
      <c r="GO98" s="309"/>
      <c r="GP98" s="309"/>
      <c r="GQ98" s="309"/>
      <c r="GR98" s="309"/>
      <c r="GS98" s="309"/>
      <c r="GT98" s="309"/>
      <c r="GU98" s="309"/>
      <c r="GV98" s="309"/>
      <c r="GW98" s="309"/>
      <c r="GX98" s="309"/>
      <c r="GY98" s="309"/>
      <c r="GZ98" s="309"/>
      <c r="HA98" s="309"/>
      <c r="HB98" s="309"/>
      <c r="HC98" s="309"/>
      <c r="HD98" s="309"/>
      <c r="HE98" s="309"/>
      <c r="HF98" s="309"/>
      <c r="HG98" s="309"/>
      <c r="HH98" s="309"/>
      <c r="HI98" s="309"/>
      <c r="HJ98" s="309"/>
      <c r="HK98" s="309"/>
      <c r="HL98" s="309"/>
      <c r="HM98" s="309"/>
      <c r="HN98" s="309"/>
      <c r="HO98" s="309"/>
      <c r="HP98" s="309"/>
      <c r="HQ98" s="309"/>
      <c r="HR98" s="309"/>
      <c r="HS98" s="309"/>
      <c r="HT98" s="309"/>
      <c r="HU98" s="309"/>
      <c r="HV98" s="309"/>
      <c r="HW98" s="309"/>
      <c r="HX98" s="309"/>
      <c r="HY98" s="309"/>
      <c r="HZ98" s="309"/>
      <c r="IA98" s="309"/>
      <c r="IB98" s="309"/>
      <c r="IC98" s="309"/>
      <c r="ID98" s="309"/>
      <c r="IE98" s="309"/>
    </row>
    <row r="99" spans="1:239" ht="25.5">
      <c r="A99" s="310">
        <v>91</v>
      </c>
      <c r="B99" s="360">
        <v>42951</v>
      </c>
      <c r="C99" s="307" t="s">
        <v>517</v>
      </c>
      <c r="D99" s="310" t="s">
        <v>599</v>
      </c>
      <c r="E99" s="310">
        <v>0.4</v>
      </c>
      <c r="F99" s="355" t="s">
        <v>711</v>
      </c>
      <c r="G99" s="310" t="s">
        <v>522</v>
      </c>
      <c r="H99" s="310">
        <v>2.25</v>
      </c>
      <c r="I99" s="310">
        <v>1</v>
      </c>
      <c r="J99" s="310">
        <v>22</v>
      </c>
      <c r="K99" s="310">
        <v>1</v>
      </c>
      <c r="L99" s="348"/>
      <c r="M99" s="346">
        <f t="shared" si="4"/>
        <v>2.25</v>
      </c>
      <c r="N99" s="346">
        <f t="shared" si="5"/>
        <v>49.5</v>
      </c>
      <c r="O99" s="348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09"/>
      <c r="CL99" s="309"/>
      <c r="CM99" s="309"/>
      <c r="CN99" s="309"/>
      <c r="CO99" s="309"/>
      <c r="CP99" s="309"/>
      <c r="CQ99" s="309"/>
      <c r="CR99" s="309"/>
      <c r="CS99" s="309"/>
      <c r="CT99" s="309"/>
      <c r="CU99" s="309"/>
      <c r="CV99" s="309"/>
      <c r="CW99" s="309"/>
      <c r="CX99" s="309"/>
      <c r="CY99" s="309"/>
      <c r="CZ99" s="309"/>
      <c r="DA99" s="309"/>
      <c r="DB99" s="309"/>
      <c r="DC99" s="309"/>
      <c r="DD99" s="309"/>
      <c r="DE99" s="309"/>
      <c r="DF99" s="309"/>
      <c r="DG99" s="309"/>
      <c r="DH99" s="309"/>
      <c r="DI99" s="309"/>
      <c r="DJ99" s="309"/>
      <c r="DK99" s="309"/>
      <c r="DL99" s="309"/>
      <c r="DM99" s="309"/>
      <c r="DN99" s="309"/>
      <c r="DO99" s="309"/>
      <c r="DP99" s="309"/>
      <c r="DQ99" s="309"/>
      <c r="DR99" s="309"/>
      <c r="DS99" s="309"/>
      <c r="DT99" s="309"/>
      <c r="DU99" s="309"/>
      <c r="DV99" s="309"/>
      <c r="DW99" s="309"/>
      <c r="DX99" s="309"/>
      <c r="DY99" s="309"/>
      <c r="DZ99" s="309"/>
      <c r="EA99" s="309"/>
      <c r="EB99" s="309"/>
      <c r="EC99" s="309"/>
      <c r="ED99" s="309"/>
      <c r="EE99" s="309"/>
      <c r="EF99" s="309"/>
      <c r="EG99" s="309"/>
      <c r="EH99" s="309"/>
      <c r="EI99" s="309"/>
      <c r="EJ99" s="309"/>
      <c r="EK99" s="309"/>
      <c r="EL99" s="309"/>
      <c r="EM99" s="309"/>
      <c r="EN99" s="309"/>
      <c r="EO99" s="309"/>
      <c r="EP99" s="309"/>
      <c r="EQ99" s="309"/>
      <c r="ER99" s="309"/>
      <c r="ES99" s="309"/>
      <c r="ET99" s="309"/>
      <c r="EU99" s="309"/>
      <c r="EV99" s="309"/>
      <c r="EW99" s="309"/>
      <c r="EX99" s="309"/>
      <c r="EY99" s="309"/>
      <c r="EZ99" s="309"/>
      <c r="FA99" s="309"/>
      <c r="FB99" s="309"/>
      <c r="FC99" s="309"/>
      <c r="FD99" s="309"/>
      <c r="FE99" s="309"/>
      <c r="FF99" s="309"/>
      <c r="FG99" s="309"/>
      <c r="FH99" s="309"/>
      <c r="FI99" s="309"/>
      <c r="FJ99" s="309"/>
      <c r="FK99" s="309"/>
      <c r="FL99" s="309"/>
      <c r="FM99" s="309"/>
      <c r="FN99" s="309"/>
      <c r="FO99" s="309"/>
      <c r="FP99" s="309"/>
      <c r="FQ99" s="309"/>
      <c r="FR99" s="309"/>
      <c r="FS99" s="309"/>
      <c r="FT99" s="309"/>
      <c r="FU99" s="309"/>
      <c r="FV99" s="309"/>
      <c r="FW99" s="309"/>
      <c r="FX99" s="309"/>
      <c r="FY99" s="309"/>
      <c r="FZ99" s="309"/>
      <c r="GA99" s="309"/>
      <c r="GB99" s="309"/>
      <c r="GC99" s="309"/>
      <c r="GD99" s="309"/>
      <c r="GE99" s="309"/>
      <c r="GF99" s="309"/>
      <c r="GG99" s="309"/>
      <c r="GH99" s="309"/>
      <c r="GI99" s="309"/>
      <c r="GJ99" s="309"/>
      <c r="GK99" s="309"/>
      <c r="GL99" s="309"/>
      <c r="GM99" s="309"/>
      <c r="GN99" s="309"/>
      <c r="GO99" s="309"/>
      <c r="GP99" s="309"/>
      <c r="GQ99" s="309"/>
      <c r="GR99" s="309"/>
      <c r="GS99" s="309"/>
      <c r="GT99" s="309"/>
      <c r="GU99" s="309"/>
      <c r="GV99" s="309"/>
      <c r="GW99" s="309"/>
      <c r="GX99" s="309"/>
      <c r="GY99" s="309"/>
      <c r="GZ99" s="309"/>
      <c r="HA99" s="309"/>
      <c r="HB99" s="309"/>
      <c r="HC99" s="309"/>
      <c r="HD99" s="309"/>
      <c r="HE99" s="309"/>
      <c r="HF99" s="309"/>
      <c r="HG99" s="309"/>
      <c r="HH99" s="309"/>
      <c r="HI99" s="309"/>
      <c r="HJ99" s="309"/>
      <c r="HK99" s="309"/>
      <c r="HL99" s="309"/>
      <c r="HM99" s="309"/>
      <c r="HN99" s="309"/>
      <c r="HO99" s="309"/>
      <c r="HP99" s="309"/>
      <c r="HQ99" s="309"/>
      <c r="HR99" s="309"/>
      <c r="HS99" s="309"/>
      <c r="HT99" s="309"/>
      <c r="HU99" s="309"/>
      <c r="HV99" s="309"/>
      <c r="HW99" s="309"/>
      <c r="HX99" s="309"/>
      <c r="HY99" s="309"/>
      <c r="HZ99" s="309"/>
      <c r="IA99" s="309"/>
      <c r="IB99" s="309"/>
      <c r="IC99" s="309"/>
      <c r="ID99" s="309"/>
      <c r="IE99" s="309"/>
    </row>
    <row r="100" spans="1:239" ht="25.5">
      <c r="A100" s="310">
        <v>92</v>
      </c>
      <c r="B100" s="360">
        <v>42954</v>
      </c>
      <c r="C100" s="307" t="s">
        <v>517</v>
      </c>
      <c r="D100" s="310" t="s">
        <v>600</v>
      </c>
      <c r="E100" s="310">
        <v>0.4</v>
      </c>
      <c r="F100" s="355" t="s">
        <v>711</v>
      </c>
      <c r="G100" s="310" t="s">
        <v>522</v>
      </c>
      <c r="H100" s="310">
        <v>5.25</v>
      </c>
      <c r="I100" s="310">
        <v>1</v>
      </c>
      <c r="J100" s="310">
        <v>10</v>
      </c>
      <c r="K100" s="310">
        <v>1</v>
      </c>
      <c r="L100" s="348"/>
      <c r="M100" s="346">
        <f t="shared" si="4"/>
        <v>5.25</v>
      </c>
      <c r="N100" s="346">
        <f t="shared" si="5"/>
        <v>52.5</v>
      </c>
      <c r="O100" s="348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09"/>
      <c r="CU100" s="309"/>
      <c r="CV100" s="309"/>
      <c r="CW100" s="309"/>
      <c r="CX100" s="309"/>
      <c r="CY100" s="309"/>
      <c r="CZ100" s="309"/>
      <c r="DA100" s="309"/>
      <c r="DB100" s="309"/>
      <c r="DC100" s="309"/>
      <c r="DD100" s="309"/>
      <c r="DE100" s="309"/>
      <c r="DF100" s="309"/>
      <c r="DG100" s="309"/>
      <c r="DH100" s="309"/>
      <c r="DI100" s="309"/>
      <c r="DJ100" s="309"/>
      <c r="DK100" s="309"/>
      <c r="DL100" s="309"/>
      <c r="DM100" s="309"/>
      <c r="DN100" s="309"/>
      <c r="DO100" s="309"/>
      <c r="DP100" s="309"/>
      <c r="DQ100" s="309"/>
      <c r="DR100" s="309"/>
      <c r="DS100" s="309"/>
      <c r="DT100" s="309"/>
      <c r="DU100" s="309"/>
      <c r="DV100" s="309"/>
      <c r="DW100" s="309"/>
      <c r="DX100" s="309"/>
      <c r="DY100" s="309"/>
      <c r="DZ100" s="309"/>
      <c r="EA100" s="309"/>
      <c r="EB100" s="309"/>
      <c r="EC100" s="309"/>
      <c r="ED100" s="309"/>
      <c r="EE100" s="309"/>
      <c r="EF100" s="309"/>
      <c r="EG100" s="309"/>
      <c r="EH100" s="309"/>
      <c r="EI100" s="309"/>
      <c r="EJ100" s="309"/>
      <c r="EK100" s="309"/>
      <c r="EL100" s="309"/>
      <c r="EM100" s="309"/>
      <c r="EN100" s="309"/>
      <c r="EO100" s="309"/>
      <c r="EP100" s="309"/>
      <c r="EQ100" s="309"/>
      <c r="ER100" s="309"/>
      <c r="ES100" s="309"/>
      <c r="ET100" s="309"/>
      <c r="EU100" s="309"/>
      <c r="EV100" s="309"/>
      <c r="EW100" s="309"/>
      <c r="EX100" s="309"/>
      <c r="EY100" s="309"/>
      <c r="EZ100" s="309"/>
      <c r="FA100" s="309"/>
      <c r="FB100" s="309"/>
      <c r="FC100" s="309"/>
      <c r="FD100" s="309"/>
      <c r="FE100" s="309"/>
      <c r="FF100" s="309"/>
      <c r="FG100" s="309"/>
      <c r="FH100" s="309"/>
      <c r="FI100" s="309"/>
      <c r="FJ100" s="309"/>
      <c r="FK100" s="309"/>
      <c r="FL100" s="309"/>
      <c r="FM100" s="309"/>
      <c r="FN100" s="309"/>
      <c r="FO100" s="309"/>
      <c r="FP100" s="309"/>
      <c r="FQ100" s="309"/>
      <c r="FR100" s="309"/>
      <c r="FS100" s="309"/>
      <c r="FT100" s="309"/>
      <c r="FU100" s="309"/>
      <c r="FV100" s="309"/>
      <c r="FW100" s="309"/>
      <c r="FX100" s="309"/>
      <c r="FY100" s="309"/>
      <c r="FZ100" s="309"/>
      <c r="GA100" s="309"/>
      <c r="GB100" s="309"/>
      <c r="GC100" s="309"/>
      <c r="GD100" s="309"/>
      <c r="GE100" s="309"/>
      <c r="GF100" s="309"/>
      <c r="GG100" s="309"/>
      <c r="GH100" s="309"/>
      <c r="GI100" s="309"/>
      <c r="GJ100" s="309"/>
      <c r="GK100" s="309"/>
      <c r="GL100" s="309"/>
      <c r="GM100" s="309"/>
      <c r="GN100" s="309"/>
      <c r="GO100" s="309"/>
      <c r="GP100" s="309"/>
      <c r="GQ100" s="309"/>
      <c r="GR100" s="309"/>
      <c r="GS100" s="309"/>
      <c r="GT100" s="309"/>
      <c r="GU100" s="309"/>
      <c r="GV100" s="309"/>
      <c r="GW100" s="309"/>
      <c r="GX100" s="309"/>
      <c r="GY100" s="309"/>
      <c r="GZ100" s="309"/>
      <c r="HA100" s="309"/>
      <c r="HB100" s="309"/>
      <c r="HC100" s="309"/>
      <c r="HD100" s="309"/>
      <c r="HE100" s="309"/>
      <c r="HF100" s="309"/>
      <c r="HG100" s="309"/>
      <c r="HH100" s="309"/>
      <c r="HI100" s="309"/>
      <c r="HJ100" s="309"/>
      <c r="HK100" s="309"/>
      <c r="HL100" s="309"/>
      <c r="HM100" s="309"/>
      <c r="HN100" s="309"/>
      <c r="HO100" s="309"/>
      <c r="HP100" s="309"/>
      <c r="HQ100" s="309"/>
      <c r="HR100" s="309"/>
      <c r="HS100" s="309"/>
      <c r="HT100" s="309"/>
      <c r="HU100" s="309"/>
      <c r="HV100" s="309"/>
      <c r="HW100" s="309"/>
      <c r="HX100" s="309"/>
      <c r="HY100" s="309"/>
      <c r="HZ100" s="309"/>
      <c r="IA100" s="309"/>
      <c r="IB100" s="309"/>
      <c r="IC100" s="309"/>
      <c r="ID100" s="309"/>
      <c r="IE100" s="309"/>
    </row>
    <row r="101" spans="1:239" ht="25.5">
      <c r="A101" s="310">
        <v>93</v>
      </c>
      <c r="B101" s="360">
        <v>42954</v>
      </c>
      <c r="C101" s="307" t="s">
        <v>517</v>
      </c>
      <c r="D101" s="310" t="s">
        <v>601</v>
      </c>
      <c r="E101" s="310">
        <v>0.4</v>
      </c>
      <c r="F101" s="355" t="s">
        <v>711</v>
      </c>
      <c r="G101" s="310" t="s">
        <v>522</v>
      </c>
      <c r="H101" s="310">
        <v>5.25</v>
      </c>
      <c r="I101" s="310">
        <v>1</v>
      </c>
      <c r="J101" s="310">
        <v>10</v>
      </c>
      <c r="K101" s="310">
        <v>1</v>
      </c>
      <c r="L101" s="348"/>
      <c r="M101" s="346">
        <f t="shared" si="4"/>
        <v>5.25</v>
      </c>
      <c r="N101" s="346">
        <f t="shared" si="5"/>
        <v>52.5</v>
      </c>
      <c r="O101" s="348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309"/>
      <c r="DD101" s="309"/>
      <c r="DE101" s="309"/>
      <c r="DF101" s="309"/>
      <c r="DG101" s="309"/>
      <c r="DH101" s="309"/>
      <c r="DI101" s="309"/>
      <c r="DJ101" s="309"/>
      <c r="DK101" s="309"/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  <c r="DW101" s="309"/>
      <c r="DX101" s="309"/>
      <c r="DY101" s="309"/>
      <c r="DZ101" s="309"/>
      <c r="EA101" s="309"/>
      <c r="EB101" s="309"/>
      <c r="EC101" s="309"/>
      <c r="ED101" s="309"/>
      <c r="EE101" s="309"/>
      <c r="EF101" s="309"/>
      <c r="EG101" s="309"/>
      <c r="EH101" s="309"/>
      <c r="EI101" s="309"/>
      <c r="EJ101" s="309"/>
      <c r="EK101" s="309"/>
      <c r="EL101" s="309"/>
      <c r="EM101" s="309"/>
      <c r="EN101" s="309"/>
      <c r="EO101" s="309"/>
      <c r="EP101" s="309"/>
      <c r="EQ101" s="309"/>
      <c r="ER101" s="309"/>
      <c r="ES101" s="309"/>
      <c r="ET101" s="309"/>
      <c r="EU101" s="309"/>
      <c r="EV101" s="309"/>
      <c r="EW101" s="309"/>
      <c r="EX101" s="309"/>
      <c r="EY101" s="309"/>
      <c r="EZ101" s="309"/>
      <c r="FA101" s="309"/>
      <c r="FB101" s="309"/>
      <c r="FC101" s="309"/>
      <c r="FD101" s="309"/>
      <c r="FE101" s="309"/>
      <c r="FF101" s="309"/>
      <c r="FG101" s="309"/>
      <c r="FH101" s="309"/>
      <c r="FI101" s="309"/>
      <c r="FJ101" s="309"/>
      <c r="FK101" s="309"/>
      <c r="FL101" s="309"/>
      <c r="FM101" s="309"/>
      <c r="FN101" s="309"/>
      <c r="FO101" s="309"/>
      <c r="FP101" s="309"/>
      <c r="FQ101" s="309"/>
      <c r="FR101" s="309"/>
      <c r="FS101" s="309"/>
      <c r="FT101" s="309"/>
      <c r="FU101" s="309"/>
      <c r="FV101" s="309"/>
      <c r="FW101" s="309"/>
      <c r="FX101" s="309"/>
      <c r="FY101" s="309"/>
      <c r="FZ101" s="309"/>
      <c r="GA101" s="309"/>
      <c r="GB101" s="309"/>
      <c r="GC101" s="309"/>
      <c r="GD101" s="309"/>
      <c r="GE101" s="309"/>
      <c r="GF101" s="309"/>
      <c r="GG101" s="309"/>
      <c r="GH101" s="309"/>
      <c r="GI101" s="309"/>
      <c r="GJ101" s="309"/>
      <c r="GK101" s="309"/>
      <c r="GL101" s="309"/>
      <c r="GM101" s="309"/>
      <c r="GN101" s="309"/>
      <c r="GO101" s="309"/>
      <c r="GP101" s="309"/>
      <c r="GQ101" s="309"/>
      <c r="GR101" s="309"/>
      <c r="GS101" s="309"/>
      <c r="GT101" s="309"/>
      <c r="GU101" s="309"/>
      <c r="GV101" s="309"/>
      <c r="GW101" s="309"/>
      <c r="GX101" s="309"/>
      <c r="GY101" s="309"/>
      <c r="GZ101" s="309"/>
      <c r="HA101" s="309"/>
      <c r="HB101" s="309"/>
      <c r="HC101" s="309"/>
      <c r="HD101" s="309"/>
      <c r="HE101" s="309"/>
      <c r="HF101" s="309"/>
      <c r="HG101" s="309"/>
      <c r="HH101" s="309"/>
      <c r="HI101" s="309"/>
      <c r="HJ101" s="309"/>
      <c r="HK101" s="309"/>
      <c r="HL101" s="309"/>
      <c r="HM101" s="309"/>
      <c r="HN101" s="309"/>
      <c r="HO101" s="309"/>
      <c r="HP101" s="309"/>
      <c r="HQ101" s="309"/>
      <c r="HR101" s="309"/>
      <c r="HS101" s="309"/>
      <c r="HT101" s="309"/>
      <c r="HU101" s="309"/>
      <c r="HV101" s="309"/>
      <c r="HW101" s="309"/>
      <c r="HX101" s="309"/>
      <c r="HY101" s="309"/>
      <c r="HZ101" s="309"/>
      <c r="IA101" s="309"/>
      <c r="IB101" s="309"/>
      <c r="IC101" s="309"/>
      <c r="ID101" s="309"/>
      <c r="IE101" s="309"/>
    </row>
    <row r="102" spans="1:239" ht="25.5">
      <c r="A102" s="310">
        <v>94</v>
      </c>
      <c r="B102" s="360">
        <v>42955</v>
      </c>
      <c r="C102" s="307" t="s">
        <v>517</v>
      </c>
      <c r="D102" s="310" t="s">
        <v>602</v>
      </c>
      <c r="E102" s="310">
        <v>0.4</v>
      </c>
      <c r="F102" s="355" t="s">
        <v>711</v>
      </c>
      <c r="G102" s="310" t="s">
        <v>522</v>
      </c>
      <c r="H102" s="310">
        <v>2.5</v>
      </c>
      <c r="I102" s="310">
        <v>1</v>
      </c>
      <c r="J102" s="310">
        <v>28</v>
      </c>
      <c r="K102" s="310">
        <v>1</v>
      </c>
      <c r="L102" s="348"/>
      <c r="M102" s="346">
        <f t="shared" si="4"/>
        <v>2.5</v>
      </c>
      <c r="N102" s="346">
        <f t="shared" si="5"/>
        <v>70</v>
      </c>
      <c r="O102" s="348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309"/>
      <c r="DD102" s="309"/>
      <c r="DE102" s="309"/>
      <c r="DF102" s="309"/>
      <c r="DG102" s="309"/>
      <c r="DH102" s="309"/>
      <c r="DI102" s="309"/>
      <c r="DJ102" s="309"/>
      <c r="DK102" s="309"/>
      <c r="DL102" s="309"/>
      <c r="DM102" s="309"/>
      <c r="DN102" s="309"/>
      <c r="DO102" s="309"/>
      <c r="DP102" s="309"/>
      <c r="DQ102" s="309"/>
      <c r="DR102" s="309"/>
      <c r="DS102" s="309"/>
      <c r="DT102" s="309"/>
      <c r="DU102" s="309"/>
      <c r="DV102" s="309"/>
      <c r="DW102" s="309"/>
      <c r="DX102" s="309"/>
      <c r="DY102" s="309"/>
      <c r="DZ102" s="309"/>
      <c r="EA102" s="309"/>
      <c r="EB102" s="309"/>
      <c r="EC102" s="309"/>
      <c r="ED102" s="309"/>
      <c r="EE102" s="309"/>
      <c r="EF102" s="309"/>
      <c r="EG102" s="309"/>
      <c r="EH102" s="309"/>
      <c r="EI102" s="309"/>
      <c r="EJ102" s="309"/>
      <c r="EK102" s="309"/>
      <c r="EL102" s="309"/>
      <c r="EM102" s="309"/>
      <c r="EN102" s="309"/>
      <c r="EO102" s="309"/>
      <c r="EP102" s="309"/>
      <c r="EQ102" s="309"/>
      <c r="ER102" s="309"/>
      <c r="ES102" s="309"/>
      <c r="ET102" s="309"/>
      <c r="EU102" s="309"/>
      <c r="EV102" s="309"/>
      <c r="EW102" s="309"/>
      <c r="EX102" s="309"/>
      <c r="EY102" s="309"/>
      <c r="EZ102" s="309"/>
      <c r="FA102" s="309"/>
      <c r="FB102" s="309"/>
      <c r="FC102" s="309"/>
      <c r="FD102" s="309"/>
      <c r="FE102" s="309"/>
      <c r="FF102" s="309"/>
      <c r="FG102" s="309"/>
      <c r="FH102" s="309"/>
      <c r="FI102" s="309"/>
      <c r="FJ102" s="309"/>
      <c r="FK102" s="309"/>
      <c r="FL102" s="309"/>
      <c r="FM102" s="309"/>
      <c r="FN102" s="309"/>
      <c r="FO102" s="309"/>
      <c r="FP102" s="309"/>
      <c r="FQ102" s="309"/>
      <c r="FR102" s="309"/>
      <c r="FS102" s="309"/>
      <c r="FT102" s="309"/>
      <c r="FU102" s="309"/>
      <c r="FV102" s="309"/>
      <c r="FW102" s="309"/>
      <c r="FX102" s="309"/>
      <c r="FY102" s="309"/>
      <c r="FZ102" s="309"/>
      <c r="GA102" s="309"/>
      <c r="GB102" s="309"/>
      <c r="GC102" s="309"/>
      <c r="GD102" s="309"/>
      <c r="GE102" s="309"/>
      <c r="GF102" s="309"/>
      <c r="GG102" s="309"/>
      <c r="GH102" s="309"/>
      <c r="GI102" s="309"/>
      <c r="GJ102" s="309"/>
      <c r="GK102" s="309"/>
      <c r="GL102" s="309"/>
      <c r="GM102" s="309"/>
      <c r="GN102" s="309"/>
      <c r="GO102" s="309"/>
      <c r="GP102" s="309"/>
      <c r="GQ102" s="309"/>
      <c r="GR102" s="309"/>
      <c r="GS102" s="309"/>
      <c r="GT102" s="309"/>
      <c r="GU102" s="309"/>
      <c r="GV102" s="309"/>
      <c r="GW102" s="309"/>
      <c r="GX102" s="309"/>
      <c r="GY102" s="309"/>
      <c r="GZ102" s="309"/>
      <c r="HA102" s="309"/>
      <c r="HB102" s="309"/>
      <c r="HC102" s="309"/>
      <c r="HD102" s="309"/>
      <c r="HE102" s="309"/>
      <c r="HF102" s="309"/>
      <c r="HG102" s="309"/>
      <c r="HH102" s="309"/>
      <c r="HI102" s="309"/>
      <c r="HJ102" s="309"/>
      <c r="HK102" s="309"/>
      <c r="HL102" s="309"/>
      <c r="HM102" s="309"/>
      <c r="HN102" s="309"/>
      <c r="HO102" s="309"/>
      <c r="HP102" s="309"/>
      <c r="HQ102" s="309"/>
      <c r="HR102" s="309"/>
      <c r="HS102" s="309"/>
      <c r="HT102" s="309"/>
      <c r="HU102" s="309"/>
      <c r="HV102" s="309"/>
      <c r="HW102" s="309"/>
      <c r="HX102" s="309"/>
      <c r="HY102" s="309"/>
      <c r="HZ102" s="309"/>
      <c r="IA102" s="309"/>
      <c r="IB102" s="309"/>
      <c r="IC102" s="309"/>
      <c r="ID102" s="309"/>
      <c r="IE102" s="309"/>
    </row>
    <row r="103" spans="1:239" ht="25.5">
      <c r="A103" s="310">
        <v>95</v>
      </c>
      <c r="B103" s="360">
        <v>42955</v>
      </c>
      <c r="C103" s="307" t="s">
        <v>517</v>
      </c>
      <c r="D103" s="310" t="s">
        <v>603</v>
      </c>
      <c r="E103" s="310">
        <v>0.4</v>
      </c>
      <c r="F103" s="355" t="s">
        <v>711</v>
      </c>
      <c r="G103" s="310" t="s">
        <v>522</v>
      </c>
      <c r="H103" s="310">
        <v>4.58</v>
      </c>
      <c r="I103" s="310">
        <v>20</v>
      </c>
      <c r="J103" s="310">
        <v>52</v>
      </c>
      <c r="K103" s="310">
        <v>1</v>
      </c>
      <c r="L103" s="348"/>
      <c r="M103" s="346">
        <f t="shared" si="4"/>
        <v>91.6</v>
      </c>
      <c r="N103" s="346">
        <f t="shared" si="5"/>
        <v>238.16</v>
      </c>
      <c r="O103" s="348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309"/>
      <c r="DD103" s="309"/>
      <c r="DE103" s="309"/>
      <c r="DF103" s="309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  <c r="DW103" s="309"/>
      <c r="DX103" s="309"/>
      <c r="DY103" s="309"/>
      <c r="DZ103" s="309"/>
      <c r="EA103" s="309"/>
      <c r="EB103" s="309"/>
      <c r="EC103" s="309"/>
      <c r="ED103" s="309"/>
      <c r="EE103" s="309"/>
      <c r="EF103" s="309"/>
      <c r="EG103" s="309"/>
      <c r="EH103" s="309"/>
      <c r="EI103" s="309"/>
      <c r="EJ103" s="309"/>
      <c r="EK103" s="309"/>
      <c r="EL103" s="309"/>
      <c r="EM103" s="309"/>
      <c r="EN103" s="309"/>
      <c r="EO103" s="309"/>
      <c r="EP103" s="309"/>
      <c r="EQ103" s="309"/>
      <c r="ER103" s="309"/>
      <c r="ES103" s="309"/>
      <c r="ET103" s="309"/>
      <c r="EU103" s="309"/>
      <c r="EV103" s="309"/>
      <c r="EW103" s="309"/>
      <c r="EX103" s="309"/>
      <c r="EY103" s="309"/>
      <c r="EZ103" s="309"/>
      <c r="FA103" s="309"/>
      <c r="FB103" s="309"/>
      <c r="FC103" s="309"/>
      <c r="FD103" s="309"/>
      <c r="FE103" s="309"/>
      <c r="FF103" s="309"/>
      <c r="FG103" s="309"/>
      <c r="FH103" s="309"/>
      <c r="FI103" s="309"/>
      <c r="FJ103" s="309"/>
      <c r="FK103" s="309"/>
      <c r="FL103" s="309"/>
      <c r="FM103" s="309"/>
      <c r="FN103" s="309"/>
      <c r="FO103" s="309"/>
      <c r="FP103" s="309"/>
      <c r="FQ103" s="309"/>
      <c r="FR103" s="309"/>
      <c r="FS103" s="309"/>
      <c r="FT103" s="309"/>
      <c r="FU103" s="309"/>
      <c r="FV103" s="309"/>
      <c r="FW103" s="309"/>
      <c r="FX103" s="309"/>
      <c r="FY103" s="309"/>
      <c r="FZ103" s="309"/>
      <c r="GA103" s="309"/>
      <c r="GB103" s="309"/>
      <c r="GC103" s="309"/>
      <c r="GD103" s="309"/>
      <c r="GE103" s="309"/>
      <c r="GF103" s="309"/>
      <c r="GG103" s="309"/>
      <c r="GH103" s="309"/>
      <c r="GI103" s="309"/>
      <c r="GJ103" s="309"/>
      <c r="GK103" s="309"/>
      <c r="GL103" s="309"/>
      <c r="GM103" s="309"/>
      <c r="GN103" s="309"/>
      <c r="GO103" s="309"/>
      <c r="GP103" s="309"/>
      <c r="GQ103" s="309"/>
      <c r="GR103" s="309"/>
      <c r="GS103" s="309"/>
      <c r="GT103" s="309"/>
      <c r="GU103" s="309"/>
      <c r="GV103" s="309"/>
      <c r="GW103" s="309"/>
      <c r="GX103" s="309"/>
      <c r="GY103" s="309"/>
      <c r="GZ103" s="309"/>
      <c r="HA103" s="309"/>
      <c r="HB103" s="309"/>
      <c r="HC103" s="309"/>
      <c r="HD103" s="309"/>
      <c r="HE103" s="309"/>
      <c r="HF103" s="309"/>
      <c r="HG103" s="309"/>
      <c r="HH103" s="309"/>
      <c r="HI103" s="309"/>
      <c r="HJ103" s="309"/>
      <c r="HK103" s="309"/>
      <c r="HL103" s="309"/>
      <c r="HM103" s="309"/>
      <c r="HN103" s="309"/>
      <c r="HO103" s="309"/>
      <c r="HP103" s="309"/>
      <c r="HQ103" s="309"/>
      <c r="HR103" s="309"/>
      <c r="HS103" s="309"/>
      <c r="HT103" s="309"/>
      <c r="HU103" s="309"/>
      <c r="HV103" s="309"/>
      <c r="HW103" s="309"/>
      <c r="HX103" s="309"/>
      <c r="HY103" s="309"/>
      <c r="HZ103" s="309"/>
      <c r="IA103" s="309"/>
      <c r="IB103" s="309"/>
      <c r="IC103" s="309"/>
      <c r="ID103" s="309"/>
      <c r="IE103" s="309"/>
    </row>
    <row r="104" spans="1:239" ht="25.5">
      <c r="A104" s="310">
        <v>96</v>
      </c>
      <c r="B104" s="360">
        <v>42956</v>
      </c>
      <c r="C104" s="307" t="s">
        <v>517</v>
      </c>
      <c r="D104" s="310" t="s">
        <v>604</v>
      </c>
      <c r="E104" s="310">
        <v>0.4</v>
      </c>
      <c r="F104" s="355" t="s">
        <v>711</v>
      </c>
      <c r="G104" s="310" t="s">
        <v>522</v>
      </c>
      <c r="H104" s="310">
        <v>2.25</v>
      </c>
      <c r="I104" s="310">
        <v>1</v>
      </c>
      <c r="J104" s="310">
        <v>20</v>
      </c>
      <c r="K104" s="310">
        <v>1</v>
      </c>
      <c r="L104" s="348"/>
      <c r="M104" s="346">
        <f t="shared" si="4"/>
        <v>2.25</v>
      </c>
      <c r="N104" s="346">
        <f t="shared" si="5"/>
        <v>45</v>
      </c>
      <c r="O104" s="348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309"/>
      <c r="DD104" s="309"/>
      <c r="DE104" s="309"/>
      <c r="DF104" s="309"/>
      <c r="DG104" s="309"/>
      <c r="DH104" s="309"/>
      <c r="DI104" s="309"/>
      <c r="DJ104" s="309"/>
      <c r="DK104" s="309"/>
      <c r="DL104" s="309"/>
      <c r="DM104" s="309"/>
      <c r="DN104" s="309"/>
      <c r="DO104" s="309"/>
      <c r="DP104" s="309"/>
      <c r="DQ104" s="309"/>
      <c r="DR104" s="309"/>
      <c r="DS104" s="309"/>
      <c r="DT104" s="309"/>
      <c r="DU104" s="309"/>
      <c r="DV104" s="309"/>
      <c r="DW104" s="309"/>
      <c r="DX104" s="309"/>
      <c r="DY104" s="309"/>
      <c r="DZ104" s="309"/>
      <c r="EA104" s="309"/>
      <c r="EB104" s="309"/>
      <c r="EC104" s="309"/>
      <c r="ED104" s="309"/>
      <c r="EE104" s="309"/>
      <c r="EF104" s="309"/>
      <c r="EG104" s="309"/>
      <c r="EH104" s="309"/>
      <c r="EI104" s="309"/>
      <c r="EJ104" s="309"/>
      <c r="EK104" s="309"/>
      <c r="EL104" s="309"/>
      <c r="EM104" s="309"/>
      <c r="EN104" s="309"/>
      <c r="EO104" s="309"/>
      <c r="EP104" s="309"/>
      <c r="EQ104" s="309"/>
      <c r="ER104" s="309"/>
      <c r="ES104" s="309"/>
      <c r="ET104" s="309"/>
      <c r="EU104" s="309"/>
      <c r="EV104" s="309"/>
      <c r="EW104" s="309"/>
      <c r="EX104" s="309"/>
      <c r="EY104" s="309"/>
      <c r="EZ104" s="309"/>
      <c r="FA104" s="309"/>
      <c r="FB104" s="309"/>
      <c r="FC104" s="309"/>
      <c r="FD104" s="309"/>
      <c r="FE104" s="309"/>
      <c r="FF104" s="309"/>
      <c r="FG104" s="309"/>
      <c r="FH104" s="309"/>
      <c r="FI104" s="309"/>
      <c r="FJ104" s="309"/>
      <c r="FK104" s="309"/>
      <c r="FL104" s="309"/>
      <c r="FM104" s="309"/>
      <c r="FN104" s="309"/>
      <c r="FO104" s="309"/>
      <c r="FP104" s="309"/>
      <c r="FQ104" s="309"/>
      <c r="FR104" s="309"/>
      <c r="FS104" s="309"/>
      <c r="FT104" s="309"/>
      <c r="FU104" s="309"/>
      <c r="FV104" s="309"/>
      <c r="FW104" s="309"/>
      <c r="FX104" s="309"/>
      <c r="FY104" s="309"/>
      <c r="FZ104" s="309"/>
      <c r="GA104" s="309"/>
      <c r="GB104" s="309"/>
      <c r="GC104" s="309"/>
      <c r="GD104" s="309"/>
      <c r="GE104" s="309"/>
      <c r="GF104" s="309"/>
      <c r="GG104" s="309"/>
      <c r="GH104" s="309"/>
      <c r="GI104" s="309"/>
      <c r="GJ104" s="309"/>
      <c r="GK104" s="309"/>
      <c r="GL104" s="309"/>
      <c r="GM104" s="309"/>
      <c r="GN104" s="309"/>
      <c r="GO104" s="309"/>
      <c r="GP104" s="309"/>
      <c r="GQ104" s="309"/>
      <c r="GR104" s="309"/>
      <c r="GS104" s="309"/>
      <c r="GT104" s="309"/>
      <c r="GU104" s="309"/>
      <c r="GV104" s="309"/>
      <c r="GW104" s="309"/>
      <c r="GX104" s="309"/>
      <c r="GY104" s="309"/>
      <c r="GZ104" s="309"/>
      <c r="HA104" s="309"/>
      <c r="HB104" s="309"/>
      <c r="HC104" s="309"/>
      <c r="HD104" s="309"/>
      <c r="HE104" s="309"/>
      <c r="HF104" s="309"/>
      <c r="HG104" s="309"/>
      <c r="HH104" s="309"/>
      <c r="HI104" s="309"/>
      <c r="HJ104" s="309"/>
      <c r="HK104" s="309"/>
      <c r="HL104" s="309"/>
      <c r="HM104" s="309"/>
      <c r="HN104" s="309"/>
      <c r="HO104" s="309"/>
      <c r="HP104" s="309"/>
      <c r="HQ104" s="309"/>
      <c r="HR104" s="309"/>
      <c r="HS104" s="309"/>
      <c r="HT104" s="309"/>
      <c r="HU104" s="309"/>
      <c r="HV104" s="309"/>
      <c r="HW104" s="309"/>
      <c r="HX104" s="309"/>
      <c r="HY104" s="309"/>
      <c r="HZ104" s="309"/>
      <c r="IA104" s="309"/>
      <c r="IB104" s="309"/>
      <c r="IC104" s="309"/>
      <c r="ID104" s="309"/>
      <c r="IE104" s="309"/>
    </row>
    <row r="105" spans="1:239" ht="25.5">
      <c r="A105" s="310">
        <v>97</v>
      </c>
      <c r="B105" s="360">
        <v>42957</v>
      </c>
      <c r="C105" s="307" t="s">
        <v>517</v>
      </c>
      <c r="D105" s="310" t="s">
        <v>605</v>
      </c>
      <c r="E105" s="310">
        <v>0.4</v>
      </c>
      <c r="F105" s="355" t="s">
        <v>711</v>
      </c>
      <c r="G105" s="310" t="s">
        <v>522</v>
      </c>
      <c r="H105" s="310">
        <v>4.25</v>
      </c>
      <c r="I105" s="310">
        <v>1</v>
      </c>
      <c r="J105" s="310">
        <v>20</v>
      </c>
      <c r="K105" s="310">
        <v>1</v>
      </c>
      <c r="L105" s="348"/>
      <c r="M105" s="346">
        <f aca="true" t="shared" si="6" ref="M105:M136">H105*I105</f>
        <v>4.25</v>
      </c>
      <c r="N105" s="346">
        <f aca="true" t="shared" si="7" ref="N105:N136">H105*J105</f>
        <v>85</v>
      </c>
      <c r="O105" s="348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  <c r="DB105" s="309"/>
      <c r="DC105" s="309"/>
      <c r="DD105" s="309"/>
      <c r="DE105" s="309"/>
      <c r="DF105" s="309"/>
      <c r="DG105" s="309"/>
      <c r="DH105" s="309"/>
      <c r="DI105" s="309"/>
      <c r="DJ105" s="309"/>
      <c r="DK105" s="309"/>
      <c r="DL105" s="309"/>
      <c r="DM105" s="309"/>
      <c r="DN105" s="309"/>
      <c r="DO105" s="309"/>
      <c r="DP105" s="309"/>
      <c r="DQ105" s="309"/>
      <c r="DR105" s="309"/>
      <c r="DS105" s="309"/>
      <c r="DT105" s="309"/>
      <c r="DU105" s="309"/>
      <c r="DV105" s="309"/>
      <c r="DW105" s="309"/>
      <c r="DX105" s="309"/>
      <c r="DY105" s="309"/>
      <c r="DZ105" s="309"/>
      <c r="EA105" s="309"/>
      <c r="EB105" s="309"/>
      <c r="EC105" s="309"/>
      <c r="ED105" s="309"/>
      <c r="EE105" s="309"/>
      <c r="EF105" s="309"/>
      <c r="EG105" s="309"/>
      <c r="EH105" s="309"/>
      <c r="EI105" s="309"/>
      <c r="EJ105" s="309"/>
      <c r="EK105" s="309"/>
      <c r="EL105" s="309"/>
      <c r="EM105" s="309"/>
      <c r="EN105" s="309"/>
      <c r="EO105" s="309"/>
      <c r="EP105" s="309"/>
      <c r="EQ105" s="309"/>
      <c r="ER105" s="309"/>
      <c r="ES105" s="309"/>
      <c r="ET105" s="309"/>
      <c r="EU105" s="309"/>
      <c r="EV105" s="309"/>
      <c r="EW105" s="309"/>
      <c r="EX105" s="309"/>
      <c r="EY105" s="309"/>
      <c r="EZ105" s="309"/>
      <c r="FA105" s="309"/>
      <c r="FB105" s="309"/>
      <c r="FC105" s="309"/>
      <c r="FD105" s="309"/>
      <c r="FE105" s="309"/>
      <c r="FF105" s="309"/>
      <c r="FG105" s="309"/>
      <c r="FH105" s="309"/>
      <c r="FI105" s="309"/>
      <c r="FJ105" s="309"/>
      <c r="FK105" s="309"/>
      <c r="FL105" s="309"/>
      <c r="FM105" s="309"/>
      <c r="FN105" s="309"/>
      <c r="FO105" s="309"/>
      <c r="FP105" s="309"/>
      <c r="FQ105" s="309"/>
      <c r="FR105" s="309"/>
      <c r="FS105" s="309"/>
      <c r="FT105" s="309"/>
      <c r="FU105" s="309"/>
      <c r="FV105" s="309"/>
      <c r="FW105" s="309"/>
      <c r="FX105" s="309"/>
      <c r="FY105" s="309"/>
      <c r="FZ105" s="309"/>
      <c r="GA105" s="309"/>
      <c r="GB105" s="309"/>
      <c r="GC105" s="309"/>
      <c r="GD105" s="309"/>
      <c r="GE105" s="309"/>
      <c r="GF105" s="309"/>
      <c r="GG105" s="309"/>
      <c r="GH105" s="309"/>
      <c r="GI105" s="309"/>
      <c r="GJ105" s="309"/>
      <c r="GK105" s="309"/>
      <c r="GL105" s="309"/>
      <c r="GM105" s="309"/>
      <c r="GN105" s="309"/>
      <c r="GO105" s="309"/>
      <c r="GP105" s="309"/>
      <c r="GQ105" s="309"/>
      <c r="GR105" s="309"/>
      <c r="GS105" s="309"/>
      <c r="GT105" s="309"/>
      <c r="GU105" s="309"/>
      <c r="GV105" s="309"/>
      <c r="GW105" s="309"/>
      <c r="GX105" s="309"/>
      <c r="GY105" s="309"/>
      <c r="GZ105" s="309"/>
      <c r="HA105" s="309"/>
      <c r="HB105" s="309"/>
      <c r="HC105" s="309"/>
      <c r="HD105" s="309"/>
      <c r="HE105" s="309"/>
      <c r="HF105" s="309"/>
      <c r="HG105" s="309"/>
      <c r="HH105" s="309"/>
      <c r="HI105" s="309"/>
      <c r="HJ105" s="309"/>
      <c r="HK105" s="309"/>
      <c r="HL105" s="309"/>
      <c r="HM105" s="309"/>
      <c r="HN105" s="309"/>
      <c r="HO105" s="309"/>
      <c r="HP105" s="309"/>
      <c r="HQ105" s="309"/>
      <c r="HR105" s="309"/>
      <c r="HS105" s="309"/>
      <c r="HT105" s="309"/>
      <c r="HU105" s="309"/>
      <c r="HV105" s="309"/>
      <c r="HW105" s="309"/>
      <c r="HX105" s="309"/>
      <c r="HY105" s="309"/>
      <c r="HZ105" s="309"/>
      <c r="IA105" s="309"/>
      <c r="IB105" s="309"/>
      <c r="IC105" s="309"/>
      <c r="ID105" s="309"/>
      <c r="IE105" s="309"/>
    </row>
    <row r="106" spans="1:239" ht="25.5">
      <c r="A106" s="310">
        <v>98</v>
      </c>
      <c r="B106" s="360">
        <v>42957</v>
      </c>
      <c r="C106" s="307" t="s">
        <v>517</v>
      </c>
      <c r="D106" s="310" t="s">
        <v>606</v>
      </c>
      <c r="E106" s="310">
        <v>0.4</v>
      </c>
      <c r="F106" s="355" t="s">
        <v>711</v>
      </c>
      <c r="G106" s="310" t="s">
        <v>522</v>
      </c>
      <c r="H106" s="310">
        <v>4.25</v>
      </c>
      <c r="I106" s="310">
        <v>1</v>
      </c>
      <c r="J106" s="310">
        <v>20</v>
      </c>
      <c r="K106" s="310">
        <v>1</v>
      </c>
      <c r="L106" s="348"/>
      <c r="M106" s="346">
        <f t="shared" si="6"/>
        <v>4.25</v>
      </c>
      <c r="N106" s="346">
        <f t="shared" si="7"/>
        <v>85</v>
      </c>
      <c r="O106" s="348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09"/>
      <c r="DI106" s="309"/>
      <c r="DJ106" s="309"/>
      <c r="DK106" s="309"/>
      <c r="DL106" s="309"/>
      <c r="DM106" s="309"/>
      <c r="DN106" s="309"/>
      <c r="DO106" s="309"/>
      <c r="DP106" s="309"/>
      <c r="DQ106" s="309"/>
      <c r="DR106" s="309"/>
      <c r="DS106" s="309"/>
      <c r="DT106" s="309"/>
      <c r="DU106" s="309"/>
      <c r="DV106" s="309"/>
      <c r="DW106" s="309"/>
      <c r="DX106" s="309"/>
      <c r="DY106" s="309"/>
      <c r="DZ106" s="309"/>
      <c r="EA106" s="309"/>
      <c r="EB106" s="309"/>
      <c r="EC106" s="309"/>
      <c r="ED106" s="309"/>
      <c r="EE106" s="309"/>
      <c r="EF106" s="309"/>
      <c r="EG106" s="309"/>
      <c r="EH106" s="309"/>
      <c r="EI106" s="309"/>
      <c r="EJ106" s="309"/>
      <c r="EK106" s="309"/>
      <c r="EL106" s="309"/>
      <c r="EM106" s="309"/>
      <c r="EN106" s="309"/>
      <c r="EO106" s="309"/>
      <c r="EP106" s="309"/>
      <c r="EQ106" s="309"/>
      <c r="ER106" s="309"/>
      <c r="ES106" s="309"/>
      <c r="ET106" s="309"/>
      <c r="EU106" s="309"/>
      <c r="EV106" s="309"/>
      <c r="EW106" s="309"/>
      <c r="EX106" s="309"/>
      <c r="EY106" s="309"/>
      <c r="EZ106" s="309"/>
      <c r="FA106" s="309"/>
      <c r="FB106" s="309"/>
      <c r="FC106" s="309"/>
      <c r="FD106" s="309"/>
      <c r="FE106" s="309"/>
      <c r="FF106" s="309"/>
      <c r="FG106" s="309"/>
      <c r="FH106" s="309"/>
      <c r="FI106" s="309"/>
      <c r="FJ106" s="309"/>
      <c r="FK106" s="309"/>
      <c r="FL106" s="309"/>
      <c r="FM106" s="309"/>
      <c r="FN106" s="309"/>
      <c r="FO106" s="309"/>
      <c r="FP106" s="309"/>
      <c r="FQ106" s="309"/>
      <c r="FR106" s="309"/>
      <c r="FS106" s="309"/>
      <c r="FT106" s="309"/>
      <c r="FU106" s="309"/>
      <c r="FV106" s="309"/>
      <c r="FW106" s="309"/>
      <c r="FX106" s="309"/>
      <c r="FY106" s="309"/>
      <c r="FZ106" s="309"/>
      <c r="GA106" s="309"/>
      <c r="GB106" s="309"/>
      <c r="GC106" s="309"/>
      <c r="GD106" s="309"/>
      <c r="GE106" s="309"/>
      <c r="GF106" s="309"/>
      <c r="GG106" s="309"/>
      <c r="GH106" s="309"/>
      <c r="GI106" s="309"/>
      <c r="GJ106" s="309"/>
      <c r="GK106" s="309"/>
      <c r="GL106" s="309"/>
      <c r="GM106" s="309"/>
      <c r="GN106" s="309"/>
      <c r="GO106" s="309"/>
      <c r="GP106" s="309"/>
      <c r="GQ106" s="309"/>
      <c r="GR106" s="309"/>
      <c r="GS106" s="309"/>
      <c r="GT106" s="309"/>
      <c r="GU106" s="309"/>
      <c r="GV106" s="309"/>
      <c r="GW106" s="309"/>
      <c r="GX106" s="309"/>
      <c r="GY106" s="309"/>
      <c r="GZ106" s="309"/>
      <c r="HA106" s="309"/>
      <c r="HB106" s="309"/>
      <c r="HC106" s="309"/>
      <c r="HD106" s="309"/>
      <c r="HE106" s="309"/>
      <c r="HF106" s="309"/>
      <c r="HG106" s="309"/>
      <c r="HH106" s="309"/>
      <c r="HI106" s="309"/>
      <c r="HJ106" s="309"/>
      <c r="HK106" s="309"/>
      <c r="HL106" s="309"/>
      <c r="HM106" s="309"/>
      <c r="HN106" s="309"/>
      <c r="HO106" s="309"/>
      <c r="HP106" s="309"/>
      <c r="HQ106" s="309"/>
      <c r="HR106" s="309"/>
      <c r="HS106" s="309"/>
      <c r="HT106" s="309"/>
      <c r="HU106" s="309"/>
      <c r="HV106" s="309"/>
      <c r="HW106" s="309"/>
      <c r="HX106" s="309"/>
      <c r="HY106" s="309"/>
      <c r="HZ106" s="309"/>
      <c r="IA106" s="309"/>
      <c r="IB106" s="309"/>
      <c r="IC106" s="309"/>
      <c r="ID106" s="309"/>
      <c r="IE106" s="309"/>
    </row>
    <row r="107" spans="1:239" ht="25.5">
      <c r="A107" s="310">
        <v>99</v>
      </c>
      <c r="B107" s="360">
        <v>42957</v>
      </c>
      <c r="C107" s="307" t="s">
        <v>517</v>
      </c>
      <c r="D107" s="310" t="s">
        <v>607</v>
      </c>
      <c r="E107" s="310">
        <v>0.4</v>
      </c>
      <c r="F107" s="355" t="s">
        <v>711</v>
      </c>
      <c r="G107" s="310" t="s">
        <v>522</v>
      </c>
      <c r="H107" s="310">
        <v>4.25</v>
      </c>
      <c r="I107" s="310">
        <v>1</v>
      </c>
      <c r="J107" s="310">
        <v>20</v>
      </c>
      <c r="K107" s="310">
        <v>1</v>
      </c>
      <c r="L107" s="348"/>
      <c r="M107" s="346">
        <f t="shared" si="6"/>
        <v>4.25</v>
      </c>
      <c r="N107" s="346">
        <f t="shared" si="7"/>
        <v>85</v>
      </c>
      <c r="O107" s="348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  <c r="EJ107" s="309"/>
      <c r="EK107" s="309"/>
      <c r="EL107" s="309"/>
      <c r="EM107" s="309"/>
      <c r="EN107" s="309"/>
      <c r="EO107" s="309"/>
      <c r="EP107" s="309"/>
      <c r="EQ107" s="309"/>
      <c r="ER107" s="309"/>
      <c r="ES107" s="309"/>
      <c r="ET107" s="309"/>
      <c r="EU107" s="309"/>
      <c r="EV107" s="309"/>
      <c r="EW107" s="309"/>
      <c r="EX107" s="309"/>
      <c r="EY107" s="309"/>
      <c r="EZ107" s="309"/>
      <c r="FA107" s="309"/>
      <c r="FB107" s="309"/>
      <c r="FC107" s="309"/>
      <c r="FD107" s="309"/>
      <c r="FE107" s="309"/>
      <c r="FF107" s="309"/>
      <c r="FG107" s="309"/>
      <c r="FH107" s="309"/>
      <c r="FI107" s="309"/>
      <c r="FJ107" s="309"/>
      <c r="FK107" s="309"/>
      <c r="FL107" s="309"/>
      <c r="FM107" s="309"/>
      <c r="FN107" s="309"/>
      <c r="FO107" s="309"/>
      <c r="FP107" s="309"/>
      <c r="FQ107" s="309"/>
      <c r="FR107" s="309"/>
      <c r="FS107" s="309"/>
      <c r="FT107" s="309"/>
      <c r="FU107" s="309"/>
      <c r="FV107" s="309"/>
      <c r="FW107" s="309"/>
      <c r="FX107" s="309"/>
      <c r="FY107" s="309"/>
      <c r="FZ107" s="309"/>
      <c r="GA107" s="309"/>
      <c r="GB107" s="309"/>
      <c r="GC107" s="309"/>
      <c r="GD107" s="309"/>
      <c r="GE107" s="309"/>
      <c r="GF107" s="309"/>
      <c r="GG107" s="309"/>
      <c r="GH107" s="309"/>
      <c r="GI107" s="309"/>
      <c r="GJ107" s="309"/>
      <c r="GK107" s="309"/>
      <c r="GL107" s="309"/>
      <c r="GM107" s="309"/>
      <c r="GN107" s="309"/>
      <c r="GO107" s="309"/>
      <c r="GP107" s="309"/>
      <c r="GQ107" s="309"/>
      <c r="GR107" s="309"/>
      <c r="GS107" s="309"/>
      <c r="GT107" s="309"/>
      <c r="GU107" s="309"/>
      <c r="GV107" s="309"/>
      <c r="GW107" s="309"/>
      <c r="GX107" s="309"/>
      <c r="GY107" s="309"/>
      <c r="GZ107" s="309"/>
      <c r="HA107" s="309"/>
      <c r="HB107" s="309"/>
      <c r="HC107" s="309"/>
      <c r="HD107" s="309"/>
      <c r="HE107" s="309"/>
      <c r="HF107" s="309"/>
      <c r="HG107" s="309"/>
      <c r="HH107" s="309"/>
      <c r="HI107" s="309"/>
      <c r="HJ107" s="309"/>
      <c r="HK107" s="309"/>
      <c r="HL107" s="309"/>
      <c r="HM107" s="309"/>
      <c r="HN107" s="309"/>
      <c r="HO107" s="309"/>
      <c r="HP107" s="309"/>
      <c r="HQ107" s="309"/>
      <c r="HR107" s="309"/>
      <c r="HS107" s="309"/>
      <c r="HT107" s="309"/>
      <c r="HU107" s="309"/>
      <c r="HV107" s="309"/>
      <c r="HW107" s="309"/>
      <c r="HX107" s="309"/>
      <c r="HY107" s="309"/>
      <c r="HZ107" s="309"/>
      <c r="IA107" s="309"/>
      <c r="IB107" s="309"/>
      <c r="IC107" s="309"/>
      <c r="ID107" s="309"/>
      <c r="IE107" s="309"/>
    </row>
    <row r="108" spans="1:239" ht="25.5">
      <c r="A108" s="310">
        <v>100</v>
      </c>
      <c r="B108" s="360">
        <v>42958</v>
      </c>
      <c r="C108" s="307" t="s">
        <v>517</v>
      </c>
      <c r="D108" s="310" t="s">
        <v>608</v>
      </c>
      <c r="E108" s="310">
        <v>0.4</v>
      </c>
      <c r="F108" s="355" t="s">
        <v>711</v>
      </c>
      <c r="G108" s="310" t="s">
        <v>522</v>
      </c>
      <c r="H108" s="310">
        <v>4.08</v>
      </c>
      <c r="I108" s="310">
        <v>1</v>
      </c>
      <c r="J108" s="310">
        <v>12</v>
      </c>
      <c r="K108" s="310">
        <v>1</v>
      </c>
      <c r="L108" s="348"/>
      <c r="M108" s="346">
        <f t="shared" si="6"/>
        <v>4.08</v>
      </c>
      <c r="N108" s="346">
        <f t="shared" si="7"/>
        <v>48.96</v>
      </c>
      <c r="O108" s="348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  <c r="EJ108" s="309"/>
      <c r="EK108" s="309"/>
      <c r="EL108" s="309"/>
      <c r="EM108" s="309"/>
      <c r="EN108" s="309"/>
      <c r="EO108" s="309"/>
      <c r="EP108" s="309"/>
      <c r="EQ108" s="309"/>
      <c r="ER108" s="309"/>
      <c r="ES108" s="309"/>
      <c r="ET108" s="309"/>
      <c r="EU108" s="309"/>
      <c r="EV108" s="309"/>
      <c r="EW108" s="309"/>
      <c r="EX108" s="309"/>
      <c r="EY108" s="309"/>
      <c r="EZ108" s="309"/>
      <c r="FA108" s="309"/>
      <c r="FB108" s="309"/>
      <c r="FC108" s="309"/>
      <c r="FD108" s="309"/>
      <c r="FE108" s="309"/>
      <c r="FF108" s="309"/>
      <c r="FG108" s="309"/>
      <c r="FH108" s="309"/>
      <c r="FI108" s="309"/>
      <c r="FJ108" s="309"/>
      <c r="FK108" s="309"/>
      <c r="FL108" s="309"/>
      <c r="FM108" s="309"/>
      <c r="FN108" s="309"/>
      <c r="FO108" s="309"/>
      <c r="FP108" s="309"/>
      <c r="FQ108" s="309"/>
      <c r="FR108" s="309"/>
      <c r="FS108" s="309"/>
      <c r="FT108" s="309"/>
      <c r="FU108" s="309"/>
      <c r="FV108" s="309"/>
      <c r="FW108" s="309"/>
      <c r="FX108" s="309"/>
      <c r="FY108" s="309"/>
      <c r="FZ108" s="309"/>
      <c r="GA108" s="309"/>
      <c r="GB108" s="309"/>
      <c r="GC108" s="309"/>
      <c r="GD108" s="309"/>
      <c r="GE108" s="309"/>
      <c r="GF108" s="309"/>
      <c r="GG108" s="309"/>
      <c r="GH108" s="309"/>
      <c r="GI108" s="309"/>
      <c r="GJ108" s="309"/>
      <c r="GK108" s="309"/>
      <c r="GL108" s="309"/>
      <c r="GM108" s="309"/>
      <c r="GN108" s="309"/>
      <c r="GO108" s="309"/>
      <c r="GP108" s="309"/>
      <c r="GQ108" s="309"/>
      <c r="GR108" s="309"/>
      <c r="GS108" s="309"/>
      <c r="GT108" s="309"/>
      <c r="GU108" s="309"/>
      <c r="GV108" s="309"/>
      <c r="GW108" s="309"/>
      <c r="GX108" s="309"/>
      <c r="GY108" s="309"/>
      <c r="GZ108" s="309"/>
      <c r="HA108" s="309"/>
      <c r="HB108" s="309"/>
      <c r="HC108" s="309"/>
      <c r="HD108" s="309"/>
      <c r="HE108" s="309"/>
      <c r="HF108" s="309"/>
      <c r="HG108" s="309"/>
      <c r="HH108" s="309"/>
      <c r="HI108" s="309"/>
      <c r="HJ108" s="309"/>
      <c r="HK108" s="309"/>
      <c r="HL108" s="309"/>
      <c r="HM108" s="309"/>
      <c r="HN108" s="309"/>
      <c r="HO108" s="309"/>
      <c r="HP108" s="309"/>
      <c r="HQ108" s="309"/>
      <c r="HR108" s="309"/>
      <c r="HS108" s="309"/>
      <c r="HT108" s="309"/>
      <c r="HU108" s="309"/>
      <c r="HV108" s="309"/>
      <c r="HW108" s="309"/>
      <c r="HX108" s="309"/>
      <c r="HY108" s="309"/>
      <c r="HZ108" s="309"/>
      <c r="IA108" s="309"/>
      <c r="IB108" s="309"/>
      <c r="IC108" s="309"/>
      <c r="ID108" s="309"/>
      <c r="IE108" s="309"/>
    </row>
    <row r="109" spans="1:239" ht="25.5">
      <c r="A109" s="310">
        <v>101</v>
      </c>
      <c r="B109" s="360">
        <v>42958</v>
      </c>
      <c r="C109" s="307" t="s">
        <v>517</v>
      </c>
      <c r="D109" s="310" t="s">
        <v>609</v>
      </c>
      <c r="E109" s="310">
        <v>0.4</v>
      </c>
      <c r="F109" s="355" t="s">
        <v>711</v>
      </c>
      <c r="G109" s="310" t="s">
        <v>522</v>
      </c>
      <c r="H109" s="310">
        <v>4.08</v>
      </c>
      <c r="I109" s="310">
        <v>1</v>
      </c>
      <c r="J109" s="310">
        <v>12</v>
      </c>
      <c r="K109" s="310">
        <v>1</v>
      </c>
      <c r="L109" s="348"/>
      <c r="M109" s="346">
        <f t="shared" si="6"/>
        <v>4.08</v>
      </c>
      <c r="N109" s="346">
        <f t="shared" si="7"/>
        <v>48.96</v>
      </c>
      <c r="O109" s="348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09"/>
      <c r="DD109" s="309"/>
      <c r="DE109" s="309"/>
      <c r="DF109" s="309"/>
      <c r="DG109" s="309"/>
      <c r="DH109" s="309"/>
      <c r="DI109" s="309"/>
      <c r="DJ109" s="309"/>
      <c r="DK109" s="309"/>
      <c r="DL109" s="309"/>
      <c r="DM109" s="309"/>
      <c r="DN109" s="309"/>
      <c r="DO109" s="309"/>
      <c r="DP109" s="309"/>
      <c r="DQ109" s="309"/>
      <c r="DR109" s="309"/>
      <c r="DS109" s="309"/>
      <c r="DT109" s="309"/>
      <c r="DU109" s="309"/>
      <c r="DV109" s="309"/>
      <c r="DW109" s="309"/>
      <c r="DX109" s="309"/>
      <c r="DY109" s="309"/>
      <c r="DZ109" s="309"/>
      <c r="EA109" s="309"/>
      <c r="EB109" s="309"/>
      <c r="EC109" s="309"/>
      <c r="ED109" s="309"/>
      <c r="EE109" s="309"/>
      <c r="EF109" s="309"/>
      <c r="EG109" s="309"/>
      <c r="EH109" s="309"/>
      <c r="EI109" s="309"/>
      <c r="EJ109" s="309"/>
      <c r="EK109" s="309"/>
      <c r="EL109" s="309"/>
      <c r="EM109" s="309"/>
      <c r="EN109" s="309"/>
      <c r="EO109" s="309"/>
      <c r="EP109" s="309"/>
      <c r="EQ109" s="309"/>
      <c r="ER109" s="309"/>
      <c r="ES109" s="309"/>
      <c r="ET109" s="309"/>
      <c r="EU109" s="309"/>
      <c r="EV109" s="309"/>
      <c r="EW109" s="309"/>
      <c r="EX109" s="309"/>
      <c r="EY109" s="309"/>
      <c r="EZ109" s="309"/>
      <c r="FA109" s="309"/>
      <c r="FB109" s="309"/>
      <c r="FC109" s="309"/>
      <c r="FD109" s="309"/>
      <c r="FE109" s="309"/>
      <c r="FF109" s="309"/>
      <c r="FG109" s="309"/>
      <c r="FH109" s="309"/>
      <c r="FI109" s="309"/>
      <c r="FJ109" s="309"/>
      <c r="FK109" s="309"/>
      <c r="FL109" s="309"/>
      <c r="FM109" s="309"/>
      <c r="FN109" s="309"/>
      <c r="FO109" s="309"/>
      <c r="FP109" s="309"/>
      <c r="FQ109" s="309"/>
      <c r="FR109" s="309"/>
      <c r="FS109" s="309"/>
      <c r="FT109" s="309"/>
      <c r="FU109" s="309"/>
      <c r="FV109" s="309"/>
      <c r="FW109" s="309"/>
      <c r="FX109" s="309"/>
      <c r="FY109" s="309"/>
      <c r="FZ109" s="309"/>
      <c r="GA109" s="309"/>
      <c r="GB109" s="309"/>
      <c r="GC109" s="309"/>
      <c r="GD109" s="309"/>
      <c r="GE109" s="309"/>
      <c r="GF109" s="309"/>
      <c r="GG109" s="309"/>
      <c r="GH109" s="309"/>
      <c r="GI109" s="309"/>
      <c r="GJ109" s="309"/>
      <c r="GK109" s="309"/>
      <c r="GL109" s="309"/>
      <c r="GM109" s="309"/>
      <c r="GN109" s="309"/>
      <c r="GO109" s="309"/>
      <c r="GP109" s="309"/>
      <c r="GQ109" s="309"/>
      <c r="GR109" s="309"/>
      <c r="GS109" s="309"/>
      <c r="GT109" s="309"/>
      <c r="GU109" s="309"/>
      <c r="GV109" s="309"/>
      <c r="GW109" s="309"/>
      <c r="GX109" s="309"/>
      <c r="GY109" s="309"/>
      <c r="GZ109" s="309"/>
      <c r="HA109" s="309"/>
      <c r="HB109" s="309"/>
      <c r="HC109" s="309"/>
      <c r="HD109" s="309"/>
      <c r="HE109" s="309"/>
      <c r="HF109" s="309"/>
      <c r="HG109" s="309"/>
      <c r="HH109" s="309"/>
      <c r="HI109" s="309"/>
      <c r="HJ109" s="309"/>
      <c r="HK109" s="309"/>
      <c r="HL109" s="309"/>
      <c r="HM109" s="309"/>
      <c r="HN109" s="309"/>
      <c r="HO109" s="309"/>
      <c r="HP109" s="309"/>
      <c r="HQ109" s="309"/>
      <c r="HR109" s="309"/>
      <c r="HS109" s="309"/>
      <c r="HT109" s="309"/>
      <c r="HU109" s="309"/>
      <c r="HV109" s="309"/>
      <c r="HW109" s="309"/>
      <c r="HX109" s="309"/>
      <c r="HY109" s="309"/>
      <c r="HZ109" s="309"/>
      <c r="IA109" s="309"/>
      <c r="IB109" s="309"/>
      <c r="IC109" s="309"/>
      <c r="ID109" s="309"/>
      <c r="IE109" s="309"/>
    </row>
    <row r="110" spans="1:239" ht="25.5">
      <c r="A110" s="310">
        <v>102</v>
      </c>
      <c r="B110" s="360">
        <v>42962</v>
      </c>
      <c r="C110" s="307" t="s">
        <v>517</v>
      </c>
      <c r="D110" s="310" t="s">
        <v>610</v>
      </c>
      <c r="E110" s="310">
        <v>0.4</v>
      </c>
      <c r="F110" s="355" t="s">
        <v>711</v>
      </c>
      <c r="G110" s="310" t="s">
        <v>522</v>
      </c>
      <c r="H110" s="310">
        <v>4.67</v>
      </c>
      <c r="I110" s="310">
        <v>1</v>
      </c>
      <c r="J110" s="310">
        <v>15</v>
      </c>
      <c r="K110" s="310">
        <v>1</v>
      </c>
      <c r="L110" s="348"/>
      <c r="M110" s="346">
        <f t="shared" si="6"/>
        <v>4.67</v>
      </c>
      <c r="N110" s="346">
        <f t="shared" si="7"/>
        <v>70.05</v>
      </c>
      <c r="O110" s="348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09"/>
      <c r="CB110" s="309"/>
      <c r="CC110" s="309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09"/>
      <c r="CP110" s="309"/>
      <c r="CQ110" s="309"/>
      <c r="CR110" s="309"/>
      <c r="CS110" s="309"/>
      <c r="CT110" s="309"/>
      <c r="CU110" s="309"/>
      <c r="CV110" s="309"/>
      <c r="CW110" s="309"/>
      <c r="CX110" s="309"/>
      <c r="CY110" s="309"/>
      <c r="CZ110" s="309"/>
      <c r="DA110" s="309"/>
      <c r="DB110" s="309"/>
      <c r="DC110" s="309"/>
      <c r="DD110" s="309"/>
      <c r="DE110" s="309"/>
      <c r="DF110" s="309"/>
      <c r="DG110" s="309"/>
      <c r="DH110" s="309"/>
      <c r="DI110" s="309"/>
      <c r="DJ110" s="309"/>
      <c r="DK110" s="309"/>
      <c r="DL110" s="309"/>
      <c r="DM110" s="309"/>
      <c r="DN110" s="309"/>
      <c r="DO110" s="309"/>
      <c r="DP110" s="309"/>
      <c r="DQ110" s="309"/>
      <c r="DR110" s="309"/>
      <c r="DS110" s="309"/>
      <c r="DT110" s="309"/>
      <c r="DU110" s="309"/>
      <c r="DV110" s="309"/>
      <c r="DW110" s="309"/>
      <c r="DX110" s="309"/>
      <c r="DY110" s="309"/>
      <c r="DZ110" s="309"/>
      <c r="EA110" s="309"/>
      <c r="EB110" s="309"/>
      <c r="EC110" s="309"/>
      <c r="ED110" s="309"/>
      <c r="EE110" s="309"/>
      <c r="EF110" s="309"/>
      <c r="EG110" s="309"/>
      <c r="EH110" s="309"/>
      <c r="EI110" s="309"/>
      <c r="EJ110" s="309"/>
      <c r="EK110" s="309"/>
      <c r="EL110" s="309"/>
      <c r="EM110" s="309"/>
      <c r="EN110" s="309"/>
      <c r="EO110" s="309"/>
      <c r="EP110" s="309"/>
      <c r="EQ110" s="309"/>
      <c r="ER110" s="309"/>
      <c r="ES110" s="309"/>
      <c r="ET110" s="309"/>
      <c r="EU110" s="309"/>
      <c r="EV110" s="309"/>
      <c r="EW110" s="309"/>
      <c r="EX110" s="309"/>
      <c r="EY110" s="309"/>
      <c r="EZ110" s="309"/>
      <c r="FA110" s="309"/>
      <c r="FB110" s="309"/>
      <c r="FC110" s="309"/>
      <c r="FD110" s="309"/>
      <c r="FE110" s="309"/>
      <c r="FF110" s="309"/>
      <c r="FG110" s="309"/>
      <c r="FH110" s="309"/>
      <c r="FI110" s="309"/>
      <c r="FJ110" s="309"/>
      <c r="FK110" s="309"/>
      <c r="FL110" s="309"/>
      <c r="FM110" s="309"/>
      <c r="FN110" s="309"/>
      <c r="FO110" s="309"/>
      <c r="FP110" s="309"/>
      <c r="FQ110" s="309"/>
      <c r="FR110" s="309"/>
      <c r="FS110" s="309"/>
      <c r="FT110" s="309"/>
      <c r="FU110" s="309"/>
      <c r="FV110" s="309"/>
      <c r="FW110" s="309"/>
      <c r="FX110" s="309"/>
      <c r="FY110" s="309"/>
      <c r="FZ110" s="309"/>
      <c r="GA110" s="309"/>
      <c r="GB110" s="309"/>
      <c r="GC110" s="309"/>
      <c r="GD110" s="309"/>
      <c r="GE110" s="309"/>
      <c r="GF110" s="309"/>
      <c r="GG110" s="309"/>
      <c r="GH110" s="309"/>
      <c r="GI110" s="309"/>
      <c r="GJ110" s="309"/>
      <c r="GK110" s="309"/>
      <c r="GL110" s="309"/>
      <c r="GM110" s="309"/>
      <c r="GN110" s="309"/>
      <c r="GO110" s="309"/>
      <c r="GP110" s="309"/>
      <c r="GQ110" s="309"/>
      <c r="GR110" s="309"/>
      <c r="GS110" s="309"/>
      <c r="GT110" s="309"/>
      <c r="GU110" s="309"/>
      <c r="GV110" s="309"/>
      <c r="GW110" s="309"/>
      <c r="GX110" s="309"/>
      <c r="GY110" s="309"/>
      <c r="GZ110" s="309"/>
      <c r="HA110" s="309"/>
      <c r="HB110" s="309"/>
      <c r="HC110" s="309"/>
      <c r="HD110" s="309"/>
      <c r="HE110" s="309"/>
      <c r="HF110" s="309"/>
      <c r="HG110" s="309"/>
      <c r="HH110" s="309"/>
      <c r="HI110" s="309"/>
      <c r="HJ110" s="309"/>
      <c r="HK110" s="309"/>
      <c r="HL110" s="309"/>
      <c r="HM110" s="309"/>
      <c r="HN110" s="309"/>
      <c r="HO110" s="309"/>
      <c r="HP110" s="309"/>
      <c r="HQ110" s="309"/>
      <c r="HR110" s="309"/>
      <c r="HS110" s="309"/>
      <c r="HT110" s="309"/>
      <c r="HU110" s="309"/>
      <c r="HV110" s="309"/>
      <c r="HW110" s="309"/>
      <c r="HX110" s="309"/>
      <c r="HY110" s="309"/>
      <c r="HZ110" s="309"/>
      <c r="IA110" s="309"/>
      <c r="IB110" s="309"/>
      <c r="IC110" s="309"/>
      <c r="ID110" s="309"/>
      <c r="IE110" s="309"/>
    </row>
    <row r="111" spans="1:239" ht="25.5">
      <c r="A111" s="310">
        <v>103</v>
      </c>
      <c r="B111" s="360">
        <v>42962</v>
      </c>
      <c r="C111" s="307" t="s">
        <v>517</v>
      </c>
      <c r="D111" s="310" t="s">
        <v>611</v>
      </c>
      <c r="E111" s="310">
        <v>0.4</v>
      </c>
      <c r="F111" s="355" t="s">
        <v>711</v>
      </c>
      <c r="G111" s="310" t="s">
        <v>522</v>
      </c>
      <c r="H111" s="310">
        <v>4.08</v>
      </c>
      <c r="I111" s="310">
        <v>1</v>
      </c>
      <c r="J111" s="310">
        <v>15</v>
      </c>
      <c r="K111" s="310">
        <v>1</v>
      </c>
      <c r="L111" s="348"/>
      <c r="M111" s="346">
        <f t="shared" si="6"/>
        <v>4.08</v>
      </c>
      <c r="N111" s="346">
        <f t="shared" si="7"/>
        <v>61.2</v>
      </c>
      <c r="O111" s="348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09"/>
      <c r="DD111" s="309"/>
      <c r="DE111" s="309"/>
      <c r="DF111" s="309"/>
      <c r="DG111" s="309"/>
      <c r="DH111" s="309"/>
      <c r="DI111" s="309"/>
      <c r="DJ111" s="309"/>
      <c r="DK111" s="309"/>
      <c r="DL111" s="309"/>
      <c r="DM111" s="309"/>
      <c r="DN111" s="309"/>
      <c r="DO111" s="309"/>
      <c r="DP111" s="309"/>
      <c r="DQ111" s="309"/>
      <c r="DR111" s="309"/>
      <c r="DS111" s="309"/>
      <c r="DT111" s="309"/>
      <c r="DU111" s="309"/>
      <c r="DV111" s="309"/>
      <c r="DW111" s="309"/>
      <c r="DX111" s="309"/>
      <c r="DY111" s="309"/>
      <c r="DZ111" s="309"/>
      <c r="EA111" s="309"/>
      <c r="EB111" s="309"/>
      <c r="EC111" s="309"/>
      <c r="ED111" s="309"/>
      <c r="EE111" s="309"/>
      <c r="EF111" s="309"/>
      <c r="EG111" s="309"/>
      <c r="EH111" s="309"/>
      <c r="EI111" s="309"/>
      <c r="EJ111" s="309"/>
      <c r="EK111" s="309"/>
      <c r="EL111" s="309"/>
      <c r="EM111" s="309"/>
      <c r="EN111" s="309"/>
      <c r="EO111" s="309"/>
      <c r="EP111" s="309"/>
      <c r="EQ111" s="309"/>
      <c r="ER111" s="309"/>
      <c r="ES111" s="309"/>
      <c r="ET111" s="309"/>
      <c r="EU111" s="309"/>
      <c r="EV111" s="309"/>
      <c r="EW111" s="309"/>
      <c r="EX111" s="309"/>
      <c r="EY111" s="309"/>
      <c r="EZ111" s="309"/>
      <c r="FA111" s="309"/>
      <c r="FB111" s="309"/>
      <c r="FC111" s="309"/>
      <c r="FD111" s="309"/>
      <c r="FE111" s="309"/>
      <c r="FF111" s="309"/>
      <c r="FG111" s="309"/>
      <c r="FH111" s="309"/>
      <c r="FI111" s="309"/>
      <c r="FJ111" s="309"/>
      <c r="FK111" s="309"/>
      <c r="FL111" s="309"/>
      <c r="FM111" s="309"/>
      <c r="FN111" s="309"/>
      <c r="FO111" s="309"/>
      <c r="FP111" s="309"/>
      <c r="FQ111" s="309"/>
      <c r="FR111" s="309"/>
      <c r="FS111" s="309"/>
      <c r="FT111" s="309"/>
      <c r="FU111" s="309"/>
      <c r="FV111" s="309"/>
      <c r="FW111" s="309"/>
      <c r="FX111" s="309"/>
      <c r="FY111" s="309"/>
      <c r="FZ111" s="309"/>
      <c r="GA111" s="309"/>
      <c r="GB111" s="309"/>
      <c r="GC111" s="309"/>
      <c r="GD111" s="309"/>
      <c r="GE111" s="309"/>
      <c r="GF111" s="309"/>
      <c r="GG111" s="309"/>
      <c r="GH111" s="309"/>
      <c r="GI111" s="309"/>
      <c r="GJ111" s="309"/>
      <c r="GK111" s="309"/>
      <c r="GL111" s="309"/>
      <c r="GM111" s="309"/>
      <c r="GN111" s="309"/>
      <c r="GO111" s="309"/>
      <c r="GP111" s="309"/>
      <c r="GQ111" s="309"/>
      <c r="GR111" s="309"/>
      <c r="GS111" s="309"/>
      <c r="GT111" s="309"/>
      <c r="GU111" s="309"/>
      <c r="GV111" s="309"/>
      <c r="GW111" s="309"/>
      <c r="GX111" s="309"/>
      <c r="GY111" s="309"/>
      <c r="GZ111" s="309"/>
      <c r="HA111" s="309"/>
      <c r="HB111" s="309"/>
      <c r="HC111" s="309"/>
      <c r="HD111" s="309"/>
      <c r="HE111" s="309"/>
      <c r="HF111" s="309"/>
      <c r="HG111" s="309"/>
      <c r="HH111" s="309"/>
      <c r="HI111" s="309"/>
      <c r="HJ111" s="309"/>
      <c r="HK111" s="309"/>
      <c r="HL111" s="309"/>
      <c r="HM111" s="309"/>
      <c r="HN111" s="309"/>
      <c r="HO111" s="309"/>
      <c r="HP111" s="309"/>
      <c r="HQ111" s="309"/>
      <c r="HR111" s="309"/>
      <c r="HS111" s="309"/>
      <c r="HT111" s="309"/>
      <c r="HU111" s="309"/>
      <c r="HV111" s="309"/>
      <c r="HW111" s="309"/>
      <c r="HX111" s="309"/>
      <c r="HY111" s="309"/>
      <c r="HZ111" s="309"/>
      <c r="IA111" s="309"/>
      <c r="IB111" s="309"/>
      <c r="IC111" s="309"/>
      <c r="ID111" s="309"/>
      <c r="IE111" s="309"/>
    </row>
    <row r="112" spans="1:239" ht="25.5">
      <c r="A112" s="310">
        <v>104</v>
      </c>
      <c r="B112" s="360">
        <v>42963</v>
      </c>
      <c r="C112" s="307" t="s">
        <v>517</v>
      </c>
      <c r="D112" s="310" t="s">
        <v>612</v>
      </c>
      <c r="E112" s="310">
        <v>0.4</v>
      </c>
      <c r="F112" s="355" t="s">
        <v>711</v>
      </c>
      <c r="G112" s="310" t="s">
        <v>522</v>
      </c>
      <c r="H112" s="310">
        <v>2.67</v>
      </c>
      <c r="I112" s="310">
        <v>1</v>
      </c>
      <c r="J112" s="310">
        <v>20</v>
      </c>
      <c r="K112" s="310">
        <v>1</v>
      </c>
      <c r="L112" s="348"/>
      <c r="M112" s="346">
        <f t="shared" si="6"/>
        <v>2.67</v>
      </c>
      <c r="N112" s="346">
        <f t="shared" si="7"/>
        <v>53.4</v>
      </c>
      <c r="O112" s="348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A112" s="309"/>
      <c r="DB112" s="309"/>
      <c r="DC112" s="309"/>
      <c r="DD112" s="309"/>
      <c r="DE112" s="309"/>
      <c r="DF112" s="309"/>
      <c r="DG112" s="309"/>
      <c r="DH112" s="309"/>
      <c r="DI112" s="309"/>
      <c r="DJ112" s="309"/>
      <c r="DK112" s="309"/>
      <c r="DL112" s="309"/>
      <c r="DM112" s="309"/>
      <c r="DN112" s="309"/>
      <c r="DO112" s="309"/>
      <c r="DP112" s="309"/>
      <c r="DQ112" s="309"/>
      <c r="DR112" s="309"/>
      <c r="DS112" s="309"/>
      <c r="DT112" s="309"/>
      <c r="DU112" s="309"/>
      <c r="DV112" s="309"/>
      <c r="DW112" s="309"/>
      <c r="DX112" s="309"/>
      <c r="DY112" s="309"/>
      <c r="DZ112" s="309"/>
      <c r="EA112" s="309"/>
      <c r="EB112" s="309"/>
      <c r="EC112" s="309"/>
      <c r="ED112" s="309"/>
      <c r="EE112" s="309"/>
      <c r="EF112" s="309"/>
      <c r="EG112" s="309"/>
      <c r="EH112" s="309"/>
      <c r="EI112" s="309"/>
      <c r="EJ112" s="309"/>
      <c r="EK112" s="309"/>
      <c r="EL112" s="309"/>
      <c r="EM112" s="309"/>
      <c r="EN112" s="309"/>
      <c r="EO112" s="309"/>
      <c r="EP112" s="309"/>
      <c r="EQ112" s="309"/>
      <c r="ER112" s="309"/>
      <c r="ES112" s="309"/>
      <c r="ET112" s="309"/>
      <c r="EU112" s="309"/>
      <c r="EV112" s="309"/>
      <c r="EW112" s="309"/>
      <c r="EX112" s="309"/>
      <c r="EY112" s="309"/>
      <c r="EZ112" s="309"/>
      <c r="FA112" s="309"/>
      <c r="FB112" s="309"/>
      <c r="FC112" s="309"/>
      <c r="FD112" s="309"/>
      <c r="FE112" s="309"/>
      <c r="FF112" s="309"/>
      <c r="FG112" s="309"/>
      <c r="FH112" s="309"/>
      <c r="FI112" s="309"/>
      <c r="FJ112" s="309"/>
      <c r="FK112" s="309"/>
      <c r="FL112" s="309"/>
      <c r="FM112" s="309"/>
      <c r="FN112" s="309"/>
      <c r="FO112" s="309"/>
      <c r="FP112" s="309"/>
      <c r="FQ112" s="309"/>
      <c r="FR112" s="309"/>
      <c r="FS112" s="309"/>
      <c r="FT112" s="309"/>
      <c r="FU112" s="309"/>
      <c r="FV112" s="309"/>
      <c r="FW112" s="309"/>
      <c r="FX112" s="309"/>
      <c r="FY112" s="309"/>
      <c r="FZ112" s="309"/>
      <c r="GA112" s="309"/>
      <c r="GB112" s="309"/>
      <c r="GC112" s="309"/>
      <c r="GD112" s="309"/>
      <c r="GE112" s="309"/>
      <c r="GF112" s="309"/>
      <c r="GG112" s="309"/>
      <c r="GH112" s="309"/>
      <c r="GI112" s="309"/>
      <c r="GJ112" s="309"/>
      <c r="GK112" s="309"/>
      <c r="GL112" s="309"/>
      <c r="GM112" s="309"/>
      <c r="GN112" s="309"/>
      <c r="GO112" s="309"/>
      <c r="GP112" s="309"/>
      <c r="GQ112" s="309"/>
      <c r="GR112" s="309"/>
      <c r="GS112" s="309"/>
      <c r="GT112" s="309"/>
      <c r="GU112" s="309"/>
      <c r="GV112" s="309"/>
      <c r="GW112" s="309"/>
      <c r="GX112" s="309"/>
      <c r="GY112" s="309"/>
      <c r="GZ112" s="309"/>
      <c r="HA112" s="309"/>
      <c r="HB112" s="309"/>
      <c r="HC112" s="309"/>
      <c r="HD112" s="309"/>
      <c r="HE112" s="309"/>
      <c r="HF112" s="309"/>
      <c r="HG112" s="309"/>
      <c r="HH112" s="309"/>
      <c r="HI112" s="309"/>
      <c r="HJ112" s="309"/>
      <c r="HK112" s="309"/>
      <c r="HL112" s="309"/>
      <c r="HM112" s="309"/>
      <c r="HN112" s="309"/>
      <c r="HO112" s="309"/>
      <c r="HP112" s="309"/>
      <c r="HQ112" s="309"/>
      <c r="HR112" s="309"/>
      <c r="HS112" s="309"/>
      <c r="HT112" s="309"/>
      <c r="HU112" s="309"/>
      <c r="HV112" s="309"/>
      <c r="HW112" s="309"/>
      <c r="HX112" s="309"/>
      <c r="HY112" s="309"/>
      <c r="HZ112" s="309"/>
      <c r="IA112" s="309"/>
      <c r="IB112" s="309"/>
      <c r="IC112" s="309"/>
      <c r="ID112" s="309"/>
      <c r="IE112" s="309"/>
    </row>
    <row r="113" spans="1:239" ht="25.5">
      <c r="A113" s="310">
        <v>105</v>
      </c>
      <c r="B113" s="360">
        <v>42964</v>
      </c>
      <c r="C113" s="307" t="s">
        <v>517</v>
      </c>
      <c r="D113" s="310" t="s">
        <v>613</v>
      </c>
      <c r="E113" s="310">
        <v>0.4</v>
      </c>
      <c r="F113" s="355" t="s">
        <v>711</v>
      </c>
      <c r="G113" s="310" t="s">
        <v>522</v>
      </c>
      <c r="H113" s="310">
        <v>2.75</v>
      </c>
      <c r="I113" s="310">
        <v>1</v>
      </c>
      <c r="J113" s="310">
        <v>46</v>
      </c>
      <c r="K113" s="310">
        <v>1</v>
      </c>
      <c r="L113" s="348"/>
      <c r="M113" s="346">
        <f t="shared" si="6"/>
        <v>2.75</v>
      </c>
      <c r="N113" s="346">
        <f t="shared" si="7"/>
        <v>126.5</v>
      </c>
      <c r="O113" s="348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  <c r="DW113" s="309"/>
      <c r="DX113" s="309"/>
      <c r="DY113" s="309"/>
      <c r="DZ113" s="309"/>
      <c r="EA113" s="309"/>
      <c r="EB113" s="309"/>
      <c r="EC113" s="309"/>
      <c r="ED113" s="309"/>
      <c r="EE113" s="309"/>
      <c r="EF113" s="309"/>
      <c r="EG113" s="309"/>
      <c r="EH113" s="309"/>
      <c r="EI113" s="309"/>
      <c r="EJ113" s="309"/>
      <c r="EK113" s="309"/>
      <c r="EL113" s="309"/>
      <c r="EM113" s="309"/>
      <c r="EN113" s="309"/>
      <c r="EO113" s="309"/>
      <c r="EP113" s="309"/>
      <c r="EQ113" s="309"/>
      <c r="ER113" s="309"/>
      <c r="ES113" s="309"/>
      <c r="ET113" s="309"/>
      <c r="EU113" s="309"/>
      <c r="EV113" s="309"/>
      <c r="EW113" s="309"/>
      <c r="EX113" s="309"/>
      <c r="EY113" s="309"/>
      <c r="EZ113" s="309"/>
      <c r="FA113" s="309"/>
      <c r="FB113" s="309"/>
      <c r="FC113" s="309"/>
      <c r="FD113" s="309"/>
      <c r="FE113" s="309"/>
      <c r="FF113" s="309"/>
      <c r="FG113" s="309"/>
      <c r="FH113" s="309"/>
      <c r="FI113" s="309"/>
      <c r="FJ113" s="309"/>
      <c r="FK113" s="309"/>
      <c r="FL113" s="309"/>
      <c r="FM113" s="309"/>
      <c r="FN113" s="309"/>
      <c r="FO113" s="309"/>
      <c r="FP113" s="309"/>
      <c r="FQ113" s="309"/>
      <c r="FR113" s="309"/>
      <c r="FS113" s="309"/>
      <c r="FT113" s="309"/>
      <c r="FU113" s="309"/>
      <c r="FV113" s="309"/>
      <c r="FW113" s="309"/>
      <c r="FX113" s="309"/>
      <c r="FY113" s="309"/>
      <c r="FZ113" s="309"/>
      <c r="GA113" s="309"/>
      <c r="GB113" s="309"/>
      <c r="GC113" s="309"/>
      <c r="GD113" s="309"/>
      <c r="GE113" s="309"/>
      <c r="GF113" s="309"/>
      <c r="GG113" s="309"/>
      <c r="GH113" s="309"/>
      <c r="GI113" s="309"/>
      <c r="GJ113" s="309"/>
      <c r="GK113" s="309"/>
      <c r="GL113" s="309"/>
      <c r="GM113" s="309"/>
      <c r="GN113" s="309"/>
      <c r="GO113" s="309"/>
      <c r="GP113" s="309"/>
      <c r="GQ113" s="309"/>
      <c r="GR113" s="309"/>
      <c r="GS113" s="309"/>
      <c r="GT113" s="309"/>
      <c r="GU113" s="309"/>
      <c r="GV113" s="309"/>
      <c r="GW113" s="309"/>
      <c r="GX113" s="309"/>
      <c r="GY113" s="309"/>
      <c r="GZ113" s="309"/>
      <c r="HA113" s="309"/>
      <c r="HB113" s="309"/>
      <c r="HC113" s="309"/>
      <c r="HD113" s="309"/>
      <c r="HE113" s="309"/>
      <c r="HF113" s="309"/>
      <c r="HG113" s="309"/>
      <c r="HH113" s="309"/>
      <c r="HI113" s="309"/>
      <c r="HJ113" s="309"/>
      <c r="HK113" s="309"/>
      <c r="HL113" s="309"/>
      <c r="HM113" s="309"/>
      <c r="HN113" s="309"/>
      <c r="HO113" s="309"/>
      <c r="HP113" s="309"/>
      <c r="HQ113" s="309"/>
      <c r="HR113" s="309"/>
      <c r="HS113" s="309"/>
      <c r="HT113" s="309"/>
      <c r="HU113" s="309"/>
      <c r="HV113" s="309"/>
      <c r="HW113" s="309"/>
      <c r="HX113" s="309"/>
      <c r="HY113" s="309"/>
      <c r="HZ113" s="309"/>
      <c r="IA113" s="309"/>
      <c r="IB113" s="309"/>
      <c r="IC113" s="309"/>
      <c r="ID113" s="309"/>
      <c r="IE113" s="309"/>
    </row>
    <row r="114" spans="1:239" ht="25.5">
      <c r="A114" s="310">
        <v>106</v>
      </c>
      <c r="B114" s="360">
        <v>42965</v>
      </c>
      <c r="C114" s="307" t="s">
        <v>517</v>
      </c>
      <c r="D114" s="310" t="s">
        <v>614</v>
      </c>
      <c r="E114" s="310">
        <v>0.4</v>
      </c>
      <c r="F114" s="355" t="s">
        <v>711</v>
      </c>
      <c r="G114" s="310" t="s">
        <v>522</v>
      </c>
      <c r="H114" s="310">
        <v>4.75</v>
      </c>
      <c r="I114" s="310">
        <v>1</v>
      </c>
      <c r="J114" s="310">
        <v>15</v>
      </c>
      <c r="K114" s="310">
        <v>1</v>
      </c>
      <c r="L114" s="348"/>
      <c r="M114" s="346">
        <f t="shared" si="6"/>
        <v>4.75</v>
      </c>
      <c r="N114" s="346">
        <f t="shared" si="7"/>
        <v>71.25</v>
      </c>
      <c r="O114" s="348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09"/>
      <c r="DD114" s="309"/>
      <c r="DE114" s="309"/>
      <c r="DF114" s="309"/>
      <c r="DG114" s="309"/>
      <c r="DH114" s="309"/>
      <c r="DI114" s="309"/>
      <c r="DJ114" s="309"/>
      <c r="DK114" s="309"/>
      <c r="DL114" s="309"/>
      <c r="DM114" s="309"/>
      <c r="DN114" s="309"/>
      <c r="DO114" s="309"/>
      <c r="DP114" s="309"/>
      <c r="DQ114" s="309"/>
      <c r="DR114" s="309"/>
      <c r="DS114" s="309"/>
      <c r="DT114" s="309"/>
      <c r="DU114" s="309"/>
      <c r="DV114" s="309"/>
      <c r="DW114" s="309"/>
      <c r="DX114" s="309"/>
      <c r="DY114" s="309"/>
      <c r="DZ114" s="309"/>
      <c r="EA114" s="309"/>
      <c r="EB114" s="309"/>
      <c r="EC114" s="309"/>
      <c r="ED114" s="309"/>
      <c r="EE114" s="309"/>
      <c r="EF114" s="309"/>
      <c r="EG114" s="309"/>
      <c r="EH114" s="309"/>
      <c r="EI114" s="309"/>
      <c r="EJ114" s="309"/>
      <c r="EK114" s="309"/>
      <c r="EL114" s="309"/>
      <c r="EM114" s="309"/>
      <c r="EN114" s="309"/>
      <c r="EO114" s="309"/>
      <c r="EP114" s="309"/>
      <c r="EQ114" s="309"/>
      <c r="ER114" s="309"/>
      <c r="ES114" s="309"/>
      <c r="ET114" s="309"/>
      <c r="EU114" s="309"/>
      <c r="EV114" s="309"/>
      <c r="EW114" s="309"/>
      <c r="EX114" s="309"/>
      <c r="EY114" s="309"/>
      <c r="EZ114" s="309"/>
      <c r="FA114" s="309"/>
      <c r="FB114" s="309"/>
      <c r="FC114" s="309"/>
      <c r="FD114" s="309"/>
      <c r="FE114" s="309"/>
      <c r="FF114" s="309"/>
      <c r="FG114" s="309"/>
      <c r="FH114" s="309"/>
      <c r="FI114" s="309"/>
      <c r="FJ114" s="309"/>
      <c r="FK114" s="309"/>
      <c r="FL114" s="309"/>
      <c r="FM114" s="309"/>
      <c r="FN114" s="309"/>
      <c r="FO114" s="309"/>
      <c r="FP114" s="309"/>
      <c r="FQ114" s="309"/>
      <c r="FR114" s="309"/>
      <c r="FS114" s="309"/>
      <c r="FT114" s="309"/>
      <c r="FU114" s="309"/>
      <c r="FV114" s="309"/>
      <c r="FW114" s="309"/>
      <c r="FX114" s="309"/>
      <c r="FY114" s="309"/>
      <c r="FZ114" s="309"/>
      <c r="GA114" s="309"/>
      <c r="GB114" s="309"/>
      <c r="GC114" s="309"/>
      <c r="GD114" s="309"/>
      <c r="GE114" s="309"/>
      <c r="GF114" s="309"/>
      <c r="GG114" s="309"/>
      <c r="GH114" s="309"/>
      <c r="GI114" s="309"/>
      <c r="GJ114" s="309"/>
      <c r="GK114" s="309"/>
      <c r="GL114" s="309"/>
      <c r="GM114" s="309"/>
      <c r="GN114" s="309"/>
      <c r="GO114" s="309"/>
      <c r="GP114" s="309"/>
      <c r="GQ114" s="309"/>
      <c r="GR114" s="309"/>
      <c r="GS114" s="309"/>
      <c r="GT114" s="309"/>
      <c r="GU114" s="309"/>
      <c r="GV114" s="309"/>
      <c r="GW114" s="309"/>
      <c r="GX114" s="309"/>
      <c r="GY114" s="309"/>
      <c r="GZ114" s="309"/>
      <c r="HA114" s="309"/>
      <c r="HB114" s="309"/>
      <c r="HC114" s="309"/>
      <c r="HD114" s="309"/>
      <c r="HE114" s="309"/>
      <c r="HF114" s="309"/>
      <c r="HG114" s="309"/>
      <c r="HH114" s="309"/>
      <c r="HI114" s="309"/>
      <c r="HJ114" s="309"/>
      <c r="HK114" s="309"/>
      <c r="HL114" s="309"/>
      <c r="HM114" s="309"/>
      <c r="HN114" s="309"/>
      <c r="HO114" s="309"/>
      <c r="HP114" s="309"/>
      <c r="HQ114" s="309"/>
      <c r="HR114" s="309"/>
      <c r="HS114" s="309"/>
      <c r="HT114" s="309"/>
      <c r="HU114" s="309"/>
      <c r="HV114" s="309"/>
      <c r="HW114" s="309"/>
      <c r="HX114" s="309"/>
      <c r="HY114" s="309"/>
      <c r="HZ114" s="309"/>
      <c r="IA114" s="309"/>
      <c r="IB114" s="309"/>
      <c r="IC114" s="309"/>
      <c r="ID114" s="309"/>
      <c r="IE114" s="309"/>
    </row>
    <row r="115" spans="1:239" ht="25.5">
      <c r="A115" s="310">
        <v>107</v>
      </c>
      <c r="B115" s="360">
        <v>42968</v>
      </c>
      <c r="C115" s="307" t="s">
        <v>517</v>
      </c>
      <c r="D115" s="310" t="s">
        <v>615</v>
      </c>
      <c r="E115" s="310">
        <v>0.4</v>
      </c>
      <c r="F115" s="355" t="s">
        <v>711</v>
      </c>
      <c r="G115" s="310" t="s">
        <v>522</v>
      </c>
      <c r="H115" s="310">
        <v>2</v>
      </c>
      <c r="I115" s="310">
        <v>1</v>
      </c>
      <c r="J115" s="310">
        <v>26</v>
      </c>
      <c r="K115" s="310">
        <v>1</v>
      </c>
      <c r="L115" s="348"/>
      <c r="M115" s="346">
        <f t="shared" si="6"/>
        <v>2</v>
      </c>
      <c r="N115" s="346">
        <f t="shared" si="7"/>
        <v>52</v>
      </c>
      <c r="O115" s="348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09"/>
      <c r="CX115" s="309"/>
      <c r="CY115" s="309"/>
      <c r="CZ115" s="309"/>
      <c r="DA115" s="309"/>
      <c r="DB115" s="309"/>
      <c r="DC115" s="309"/>
      <c r="DD115" s="309"/>
      <c r="DE115" s="309"/>
      <c r="DF115" s="309"/>
      <c r="DG115" s="309"/>
      <c r="DH115" s="309"/>
      <c r="DI115" s="309"/>
      <c r="DJ115" s="309"/>
      <c r="DK115" s="309"/>
      <c r="DL115" s="309"/>
      <c r="DM115" s="309"/>
      <c r="DN115" s="309"/>
      <c r="DO115" s="309"/>
      <c r="DP115" s="309"/>
      <c r="DQ115" s="309"/>
      <c r="DR115" s="309"/>
      <c r="DS115" s="309"/>
      <c r="DT115" s="309"/>
      <c r="DU115" s="309"/>
      <c r="DV115" s="309"/>
      <c r="DW115" s="309"/>
      <c r="DX115" s="309"/>
      <c r="DY115" s="309"/>
      <c r="DZ115" s="309"/>
      <c r="EA115" s="309"/>
      <c r="EB115" s="309"/>
      <c r="EC115" s="309"/>
      <c r="ED115" s="309"/>
      <c r="EE115" s="309"/>
      <c r="EF115" s="309"/>
      <c r="EG115" s="309"/>
      <c r="EH115" s="309"/>
      <c r="EI115" s="309"/>
      <c r="EJ115" s="309"/>
      <c r="EK115" s="309"/>
      <c r="EL115" s="309"/>
      <c r="EM115" s="309"/>
      <c r="EN115" s="309"/>
      <c r="EO115" s="309"/>
      <c r="EP115" s="309"/>
      <c r="EQ115" s="309"/>
      <c r="ER115" s="309"/>
      <c r="ES115" s="309"/>
      <c r="ET115" s="309"/>
      <c r="EU115" s="309"/>
      <c r="EV115" s="309"/>
      <c r="EW115" s="309"/>
      <c r="EX115" s="309"/>
      <c r="EY115" s="309"/>
      <c r="EZ115" s="309"/>
      <c r="FA115" s="309"/>
      <c r="FB115" s="309"/>
      <c r="FC115" s="309"/>
      <c r="FD115" s="309"/>
      <c r="FE115" s="309"/>
      <c r="FF115" s="309"/>
      <c r="FG115" s="309"/>
      <c r="FH115" s="309"/>
      <c r="FI115" s="309"/>
      <c r="FJ115" s="309"/>
      <c r="FK115" s="309"/>
      <c r="FL115" s="309"/>
      <c r="FM115" s="309"/>
      <c r="FN115" s="309"/>
      <c r="FO115" s="309"/>
      <c r="FP115" s="309"/>
      <c r="FQ115" s="309"/>
      <c r="FR115" s="309"/>
      <c r="FS115" s="309"/>
      <c r="FT115" s="309"/>
      <c r="FU115" s="309"/>
      <c r="FV115" s="309"/>
      <c r="FW115" s="309"/>
      <c r="FX115" s="309"/>
      <c r="FY115" s="309"/>
      <c r="FZ115" s="309"/>
      <c r="GA115" s="309"/>
      <c r="GB115" s="309"/>
      <c r="GC115" s="309"/>
      <c r="GD115" s="309"/>
      <c r="GE115" s="309"/>
      <c r="GF115" s="309"/>
      <c r="GG115" s="309"/>
      <c r="GH115" s="309"/>
      <c r="GI115" s="309"/>
      <c r="GJ115" s="309"/>
      <c r="GK115" s="309"/>
      <c r="GL115" s="309"/>
      <c r="GM115" s="309"/>
      <c r="GN115" s="309"/>
      <c r="GO115" s="309"/>
      <c r="GP115" s="309"/>
      <c r="GQ115" s="309"/>
      <c r="GR115" s="309"/>
      <c r="GS115" s="309"/>
      <c r="GT115" s="309"/>
      <c r="GU115" s="309"/>
      <c r="GV115" s="309"/>
      <c r="GW115" s="309"/>
      <c r="GX115" s="309"/>
      <c r="GY115" s="309"/>
      <c r="GZ115" s="309"/>
      <c r="HA115" s="309"/>
      <c r="HB115" s="309"/>
      <c r="HC115" s="309"/>
      <c r="HD115" s="309"/>
      <c r="HE115" s="309"/>
      <c r="HF115" s="309"/>
      <c r="HG115" s="309"/>
      <c r="HH115" s="309"/>
      <c r="HI115" s="309"/>
      <c r="HJ115" s="309"/>
      <c r="HK115" s="309"/>
      <c r="HL115" s="309"/>
      <c r="HM115" s="309"/>
      <c r="HN115" s="309"/>
      <c r="HO115" s="309"/>
      <c r="HP115" s="309"/>
      <c r="HQ115" s="309"/>
      <c r="HR115" s="309"/>
      <c r="HS115" s="309"/>
      <c r="HT115" s="309"/>
      <c r="HU115" s="309"/>
      <c r="HV115" s="309"/>
      <c r="HW115" s="309"/>
      <c r="HX115" s="309"/>
      <c r="HY115" s="309"/>
      <c r="HZ115" s="309"/>
      <c r="IA115" s="309"/>
      <c r="IB115" s="309"/>
      <c r="IC115" s="309"/>
      <c r="ID115" s="309"/>
      <c r="IE115" s="309"/>
    </row>
    <row r="116" spans="1:239" ht="25.5">
      <c r="A116" s="310">
        <v>108</v>
      </c>
      <c r="B116" s="360">
        <v>42969</v>
      </c>
      <c r="C116" s="307" t="s">
        <v>517</v>
      </c>
      <c r="D116" s="310" t="s">
        <v>616</v>
      </c>
      <c r="E116" s="310">
        <v>0.4</v>
      </c>
      <c r="F116" s="355" t="s">
        <v>711</v>
      </c>
      <c r="G116" s="310" t="s">
        <v>522</v>
      </c>
      <c r="H116" s="310">
        <v>4.25</v>
      </c>
      <c r="I116" s="310">
        <v>1</v>
      </c>
      <c r="J116" s="310">
        <v>10</v>
      </c>
      <c r="K116" s="310">
        <v>1</v>
      </c>
      <c r="L116" s="348"/>
      <c r="M116" s="346">
        <f t="shared" si="6"/>
        <v>4.25</v>
      </c>
      <c r="N116" s="346">
        <f t="shared" si="7"/>
        <v>42.5</v>
      </c>
      <c r="O116" s="348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09"/>
      <c r="DT116" s="309"/>
      <c r="DU116" s="309"/>
      <c r="DV116" s="309"/>
      <c r="DW116" s="309"/>
      <c r="DX116" s="309"/>
      <c r="DY116" s="309"/>
      <c r="DZ116" s="309"/>
      <c r="EA116" s="309"/>
      <c r="EB116" s="309"/>
      <c r="EC116" s="309"/>
      <c r="ED116" s="309"/>
      <c r="EE116" s="309"/>
      <c r="EF116" s="309"/>
      <c r="EG116" s="309"/>
      <c r="EH116" s="309"/>
      <c r="EI116" s="309"/>
      <c r="EJ116" s="309"/>
      <c r="EK116" s="309"/>
      <c r="EL116" s="309"/>
      <c r="EM116" s="309"/>
      <c r="EN116" s="309"/>
      <c r="EO116" s="309"/>
      <c r="EP116" s="309"/>
      <c r="EQ116" s="309"/>
      <c r="ER116" s="309"/>
      <c r="ES116" s="309"/>
      <c r="ET116" s="309"/>
      <c r="EU116" s="309"/>
      <c r="EV116" s="309"/>
      <c r="EW116" s="309"/>
      <c r="EX116" s="309"/>
      <c r="EY116" s="309"/>
      <c r="EZ116" s="309"/>
      <c r="FA116" s="309"/>
      <c r="FB116" s="309"/>
      <c r="FC116" s="309"/>
      <c r="FD116" s="309"/>
      <c r="FE116" s="309"/>
      <c r="FF116" s="309"/>
      <c r="FG116" s="309"/>
      <c r="FH116" s="309"/>
      <c r="FI116" s="309"/>
      <c r="FJ116" s="309"/>
      <c r="FK116" s="309"/>
      <c r="FL116" s="309"/>
      <c r="FM116" s="309"/>
      <c r="FN116" s="309"/>
      <c r="FO116" s="309"/>
      <c r="FP116" s="309"/>
      <c r="FQ116" s="309"/>
      <c r="FR116" s="309"/>
      <c r="FS116" s="309"/>
      <c r="FT116" s="309"/>
      <c r="FU116" s="309"/>
      <c r="FV116" s="309"/>
      <c r="FW116" s="309"/>
      <c r="FX116" s="309"/>
      <c r="FY116" s="309"/>
      <c r="FZ116" s="309"/>
      <c r="GA116" s="309"/>
      <c r="GB116" s="309"/>
      <c r="GC116" s="309"/>
      <c r="GD116" s="309"/>
      <c r="GE116" s="309"/>
      <c r="GF116" s="309"/>
      <c r="GG116" s="309"/>
      <c r="GH116" s="309"/>
      <c r="GI116" s="309"/>
      <c r="GJ116" s="309"/>
      <c r="GK116" s="309"/>
      <c r="GL116" s="309"/>
      <c r="GM116" s="309"/>
      <c r="GN116" s="309"/>
      <c r="GO116" s="309"/>
      <c r="GP116" s="309"/>
      <c r="GQ116" s="309"/>
      <c r="GR116" s="309"/>
      <c r="GS116" s="309"/>
      <c r="GT116" s="309"/>
      <c r="GU116" s="309"/>
      <c r="GV116" s="309"/>
      <c r="GW116" s="309"/>
      <c r="GX116" s="309"/>
      <c r="GY116" s="309"/>
      <c r="GZ116" s="309"/>
      <c r="HA116" s="309"/>
      <c r="HB116" s="309"/>
      <c r="HC116" s="309"/>
      <c r="HD116" s="309"/>
      <c r="HE116" s="309"/>
      <c r="HF116" s="309"/>
      <c r="HG116" s="309"/>
      <c r="HH116" s="309"/>
      <c r="HI116" s="309"/>
      <c r="HJ116" s="309"/>
      <c r="HK116" s="309"/>
      <c r="HL116" s="309"/>
      <c r="HM116" s="309"/>
      <c r="HN116" s="309"/>
      <c r="HO116" s="309"/>
      <c r="HP116" s="309"/>
      <c r="HQ116" s="309"/>
      <c r="HR116" s="309"/>
      <c r="HS116" s="309"/>
      <c r="HT116" s="309"/>
      <c r="HU116" s="309"/>
      <c r="HV116" s="309"/>
      <c r="HW116" s="309"/>
      <c r="HX116" s="309"/>
      <c r="HY116" s="309"/>
      <c r="HZ116" s="309"/>
      <c r="IA116" s="309"/>
      <c r="IB116" s="309"/>
      <c r="IC116" s="309"/>
      <c r="ID116" s="309"/>
      <c r="IE116" s="309"/>
    </row>
    <row r="117" spans="1:239" ht="25.5">
      <c r="A117" s="310">
        <v>109</v>
      </c>
      <c r="B117" s="360">
        <v>42969</v>
      </c>
      <c r="C117" s="307" t="s">
        <v>517</v>
      </c>
      <c r="D117" s="310" t="s">
        <v>617</v>
      </c>
      <c r="E117" s="310">
        <v>0.4</v>
      </c>
      <c r="F117" s="355" t="s">
        <v>711</v>
      </c>
      <c r="G117" s="310" t="s">
        <v>522</v>
      </c>
      <c r="H117" s="310">
        <v>4.25</v>
      </c>
      <c r="I117" s="310">
        <v>1</v>
      </c>
      <c r="J117" s="310">
        <v>10</v>
      </c>
      <c r="K117" s="310">
        <v>1</v>
      </c>
      <c r="L117" s="348"/>
      <c r="M117" s="346">
        <f t="shared" si="6"/>
        <v>4.25</v>
      </c>
      <c r="N117" s="346">
        <f t="shared" si="7"/>
        <v>42.5</v>
      </c>
      <c r="O117" s="348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  <c r="CR117" s="309"/>
      <c r="CS117" s="309"/>
      <c r="CT117" s="309"/>
      <c r="CU117" s="309"/>
      <c r="CV117" s="309"/>
      <c r="CW117" s="309"/>
      <c r="CX117" s="309"/>
      <c r="CY117" s="309"/>
      <c r="CZ117" s="309"/>
      <c r="DA117" s="309"/>
      <c r="DB117" s="309"/>
      <c r="DC117" s="309"/>
      <c r="DD117" s="309"/>
      <c r="DE117" s="309"/>
      <c r="DF117" s="309"/>
      <c r="DG117" s="309"/>
      <c r="DH117" s="309"/>
      <c r="DI117" s="309"/>
      <c r="DJ117" s="309"/>
      <c r="DK117" s="309"/>
      <c r="DL117" s="309"/>
      <c r="DM117" s="309"/>
      <c r="DN117" s="309"/>
      <c r="DO117" s="309"/>
      <c r="DP117" s="309"/>
      <c r="DQ117" s="309"/>
      <c r="DR117" s="309"/>
      <c r="DS117" s="309"/>
      <c r="DT117" s="309"/>
      <c r="DU117" s="309"/>
      <c r="DV117" s="309"/>
      <c r="DW117" s="309"/>
      <c r="DX117" s="309"/>
      <c r="DY117" s="309"/>
      <c r="DZ117" s="309"/>
      <c r="EA117" s="309"/>
      <c r="EB117" s="309"/>
      <c r="EC117" s="309"/>
      <c r="ED117" s="309"/>
      <c r="EE117" s="309"/>
      <c r="EF117" s="309"/>
      <c r="EG117" s="309"/>
      <c r="EH117" s="309"/>
      <c r="EI117" s="309"/>
      <c r="EJ117" s="309"/>
      <c r="EK117" s="309"/>
      <c r="EL117" s="309"/>
      <c r="EM117" s="309"/>
      <c r="EN117" s="309"/>
      <c r="EO117" s="309"/>
      <c r="EP117" s="309"/>
      <c r="EQ117" s="309"/>
      <c r="ER117" s="309"/>
      <c r="ES117" s="309"/>
      <c r="ET117" s="309"/>
      <c r="EU117" s="309"/>
      <c r="EV117" s="309"/>
      <c r="EW117" s="309"/>
      <c r="EX117" s="309"/>
      <c r="EY117" s="309"/>
      <c r="EZ117" s="309"/>
      <c r="FA117" s="309"/>
      <c r="FB117" s="309"/>
      <c r="FC117" s="309"/>
      <c r="FD117" s="309"/>
      <c r="FE117" s="309"/>
      <c r="FF117" s="309"/>
      <c r="FG117" s="309"/>
      <c r="FH117" s="309"/>
      <c r="FI117" s="309"/>
      <c r="FJ117" s="309"/>
      <c r="FK117" s="309"/>
      <c r="FL117" s="309"/>
      <c r="FM117" s="309"/>
      <c r="FN117" s="309"/>
      <c r="FO117" s="309"/>
      <c r="FP117" s="309"/>
      <c r="FQ117" s="309"/>
      <c r="FR117" s="309"/>
      <c r="FS117" s="309"/>
      <c r="FT117" s="309"/>
      <c r="FU117" s="309"/>
      <c r="FV117" s="309"/>
      <c r="FW117" s="309"/>
      <c r="FX117" s="309"/>
      <c r="FY117" s="309"/>
      <c r="FZ117" s="309"/>
      <c r="GA117" s="309"/>
      <c r="GB117" s="309"/>
      <c r="GC117" s="309"/>
      <c r="GD117" s="309"/>
      <c r="GE117" s="309"/>
      <c r="GF117" s="309"/>
      <c r="GG117" s="309"/>
      <c r="GH117" s="309"/>
      <c r="GI117" s="309"/>
      <c r="GJ117" s="309"/>
      <c r="GK117" s="309"/>
      <c r="GL117" s="309"/>
      <c r="GM117" s="309"/>
      <c r="GN117" s="309"/>
      <c r="GO117" s="309"/>
      <c r="GP117" s="309"/>
      <c r="GQ117" s="309"/>
      <c r="GR117" s="309"/>
      <c r="GS117" s="309"/>
      <c r="GT117" s="309"/>
      <c r="GU117" s="309"/>
      <c r="GV117" s="309"/>
      <c r="GW117" s="309"/>
      <c r="GX117" s="309"/>
      <c r="GY117" s="309"/>
      <c r="GZ117" s="309"/>
      <c r="HA117" s="309"/>
      <c r="HB117" s="309"/>
      <c r="HC117" s="309"/>
      <c r="HD117" s="309"/>
      <c r="HE117" s="309"/>
      <c r="HF117" s="309"/>
      <c r="HG117" s="309"/>
      <c r="HH117" s="309"/>
      <c r="HI117" s="309"/>
      <c r="HJ117" s="309"/>
      <c r="HK117" s="309"/>
      <c r="HL117" s="309"/>
      <c r="HM117" s="309"/>
      <c r="HN117" s="309"/>
      <c r="HO117" s="309"/>
      <c r="HP117" s="309"/>
      <c r="HQ117" s="309"/>
      <c r="HR117" s="309"/>
      <c r="HS117" s="309"/>
      <c r="HT117" s="309"/>
      <c r="HU117" s="309"/>
      <c r="HV117" s="309"/>
      <c r="HW117" s="309"/>
      <c r="HX117" s="309"/>
      <c r="HY117" s="309"/>
      <c r="HZ117" s="309"/>
      <c r="IA117" s="309"/>
      <c r="IB117" s="309"/>
      <c r="IC117" s="309"/>
      <c r="ID117" s="309"/>
      <c r="IE117" s="309"/>
    </row>
    <row r="118" spans="1:239" ht="25.5">
      <c r="A118" s="310">
        <v>110</v>
      </c>
      <c r="B118" s="360">
        <v>42970</v>
      </c>
      <c r="C118" s="307" t="s">
        <v>517</v>
      </c>
      <c r="D118" s="310" t="s">
        <v>618</v>
      </c>
      <c r="E118" s="310">
        <v>0.4</v>
      </c>
      <c r="F118" s="355" t="s">
        <v>711</v>
      </c>
      <c r="G118" s="310" t="s">
        <v>522</v>
      </c>
      <c r="H118" s="310">
        <v>1.92</v>
      </c>
      <c r="I118" s="310">
        <v>1</v>
      </c>
      <c r="J118" s="310">
        <v>20</v>
      </c>
      <c r="K118" s="310">
        <v>1</v>
      </c>
      <c r="L118" s="348"/>
      <c r="M118" s="346">
        <f t="shared" si="6"/>
        <v>1.92</v>
      </c>
      <c r="N118" s="346">
        <f t="shared" si="7"/>
        <v>38.4</v>
      </c>
      <c r="O118" s="348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09"/>
      <c r="CX118" s="309"/>
      <c r="CY118" s="309"/>
      <c r="CZ118" s="309"/>
      <c r="DA118" s="309"/>
      <c r="DB118" s="309"/>
      <c r="DC118" s="309"/>
      <c r="DD118" s="309"/>
      <c r="DE118" s="309"/>
      <c r="DF118" s="309"/>
      <c r="DG118" s="309"/>
      <c r="DH118" s="309"/>
      <c r="DI118" s="309"/>
      <c r="DJ118" s="309"/>
      <c r="DK118" s="309"/>
      <c r="DL118" s="309"/>
      <c r="DM118" s="309"/>
      <c r="DN118" s="309"/>
      <c r="DO118" s="309"/>
      <c r="DP118" s="309"/>
      <c r="DQ118" s="309"/>
      <c r="DR118" s="309"/>
      <c r="DS118" s="309"/>
      <c r="DT118" s="309"/>
      <c r="DU118" s="309"/>
      <c r="DV118" s="309"/>
      <c r="DW118" s="309"/>
      <c r="DX118" s="309"/>
      <c r="DY118" s="309"/>
      <c r="DZ118" s="309"/>
      <c r="EA118" s="309"/>
      <c r="EB118" s="309"/>
      <c r="EC118" s="309"/>
      <c r="ED118" s="309"/>
      <c r="EE118" s="309"/>
      <c r="EF118" s="309"/>
      <c r="EG118" s="309"/>
      <c r="EH118" s="309"/>
      <c r="EI118" s="309"/>
      <c r="EJ118" s="309"/>
      <c r="EK118" s="309"/>
      <c r="EL118" s="309"/>
      <c r="EM118" s="309"/>
      <c r="EN118" s="309"/>
      <c r="EO118" s="309"/>
      <c r="EP118" s="309"/>
      <c r="EQ118" s="309"/>
      <c r="ER118" s="309"/>
      <c r="ES118" s="309"/>
      <c r="ET118" s="309"/>
      <c r="EU118" s="309"/>
      <c r="EV118" s="309"/>
      <c r="EW118" s="309"/>
      <c r="EX118" s="309"/>
      <c r="EY118" s="309"/>
      <c r="EZ118" s="309"/>
      <c r="FA118" s="309"/>
      <c r="FB118" s="309"/>
      <c r="FC118" s="309"/>
      <c r="FD118" s="309"/>
      <c r="FE118" s="309"/>
      <c r="FF118" s="309"/>
      <c r="FG118" s="309"/>
      <c r="FH118" s="309"/>
      <c r="FI118" s="309"/>
      <c r="FJ118" s="309"/>
      <c r="FK118" s="309"/>
      <c r="FL118" s="309"/>
      <c r="FM118" s="309"/>
      <c r="FN118" s="309"/>
      <c r="FO118" s="309"/>
      <c r="FP118" s="309"/>
      <c r="FQ118" s="309"/>
      <c r="FR118" s="309"/>
      <c r="FS118" s="309"/>
      <c r="FT118" s="309"/>
      <c r="FU118" s="309"/>
      <c r="FV118" s="309"/>
      <c r="FW118" s="309"/>
      <c r="FX118" s="309"/>
      <c r="FY118" s="309"/>
      <c r="FZ118" s="309"/>
      <c r="GA118" s="309"/>
      <c r="GB118" s="309"/>
      <c r="GC118" s="309"/>
      <c r="GD118" s="309"/>
      <c r="GE118" s="309"/>
      <c r="GF118" s="309"/>
      <c r="GG118" s="309"/>
      <c r="GH118" s="309"/>
      <c r="GI118" s="309"/>
      <c r="GJ118" s="309"/>
      <c r="GK118" s="309"/>
      <c r="GL118" s="309"/>
      <c r="GM118" s="309"/>
      <c r="GN118" s="309"/>
      <c r="GO118" s="309"/>
      <c r="GP118" s="309"/>
      <c r="GQ118" s="309"/>
      <c r="GR118" s="309"/>
      <c r="GS118" s="309"/>
      <c r="GT118" s="309"/>
      <c r="GU118" s="309"/>
      <c r="GV118" s="309"/>
      <c r="GW118" s="309"/>
      <c r="GX118" s="309"/>
      <c r="GY118" s="309"/>
      <c r="GZ118" s="309"/>
      <c r="HA118" s="309"/>
      <c r="HB118" s="309"/>
      <c r="HC118" s="309"/>
      <c r="HD118" s="309"/>
      <c r="HE118" s="309"/>
      <c r="HF118" s="309"/>
      <c r="HG118" s="309"/>
      <c r="HH118" s="309"/>
      <c r="HI118" s="309"/>
      <c r="HJ118" s="309"/>
      <c r="HK118" s="309"/>
      <c r="HL118" s="309"/>
      <c r="HM118" s="309"/>
      <c r="HN118" s="309"/>
      <c r="HO118" s="309"/>
      <c r="HP118" s="309"/>
      <c r="HQ118" s="309"/>
      <c r="HR118" s="309"/>
      <c r="HS118" s="309"/>
      <c r="HT118" s="309"/>
      <c r="HU118" s="309"/>
      <c r="HV118" s="309"/>
      <c r="HW118" s="309"/>
      <c r="HX118" s="309"/>
      <c r="HY118" s="309"/>
      <c r="HZ118" s="309"/>
      <c r="IA118" s="309"/>
      <c r="IB118" s="309"/>
      <c r="IC118" s="309"/>
      <c r="ID118" s="309"/>
      <c r="IE118" s="309"/>
    </row>
    <row r="119" spans="1:239" ht="25.5">
      <c r="A119" s="310">
        <v>111</v>
      </c>
      <c r="B119" s="360">
        <v>42970</v>
      </c>
      <c r="C119" s="307" t="s">
        <v>517</v>
      </c>
      <c r="D119" s="310" t="s">
        <v>619</v>
      </c>
      <c r="E119" s="310">
        <v>0.4</v>
      </c>
      <c r="F119" s="355" t="s">
        <v>711</v>
      </c>
      <c r="G119" s="310" t="s">
        <v>522</v>
      </c>
      <c r="H119" s="310">
        <v>1.92</v>
      </c>
      <c r="I119" s="310">
        <v>1</v>
      </c>
      <c r="J119" s="310">
        <v>20</v>
      </c>
      <c r="K119" s="310">
        <v>1</v>
      </c>
      <c r="L119" s="348"/>
      <c r="M119" s="346">
        <f t="shared" si="6"/>
        <v>1.92</v>
      </c>
      <c r="N119" s="346">
        <f t="shared" si="7"/>
        <v>38.4</v>
      </c>
      <c r="O119" s="348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  <c r="DW119" s="309"/>
      <c r="DX119" s="309"/>
      <c r="DY119" s="309"/>
      <c r="DZ119" s="309"/>
      <c r="EA119" s="309"/>
      <c r="EB119" s="309"/>
      <c r="EC119" s="309"/>
      <c r="ED119" s="309"/>
      <c r="EE119" s="309"/>
      <c r="EF119" s="309"/>
      <c r="EG119" s="309"/>
      <c r="EH119" s="309"/>
      <c r="EI119" s="309"/>
      <c r="EJ119" s="309"/>
      <c r="EK119" s="309"/>
      <c r="EL119" s="309"/>
      <c r="EM119" s="309"/>
      <c r="EN119" s="309"/>
      <c r="EO119" s="309"/>
      <c r="EP119" s="309"/>
      <c r="EQ119" s="309"/>
      <c r="ER119" s="309"/>
      <c r="ES119" s="309"/>
      <c r="ET119" s="309"/>
      <c r="EU119" s="309"/>
      <c r="EV119" s="309"/>
      <c r="EW119" s="309"/>
      <c r="EX119" s="309"/>
      <c r="EY119" s="309"/>
      <c r="EZ119" s="309"/>
      <c r="FA119" s="309"/>
      <c r="FB119" s="309"/>
      <c r="FC119" s="309"/>
      <c r="FD119" s="309"/>
      <c r="FE119" s="309"/>
      <c r="FF119" s="309"/>
      <c r="FG119" s="309"/>
      <c r="FH119" s="309"/>
      <c r="FI119" s="309"/>
      <c r="FJ119" s="309"/>
      <c r="FK119" s="309"/>
      <c r="FL119" s="309"/>
      <c r="FM119" s="309"/>
      <c r="FN119" s="309"/>
      <c r="FO119" s="309"/>
      <c r="FP119" s="309"/>
      <c r="FQ119" s="309"/>
      <c r="FR119" s="309"/>
      <c r="FS119" s="309"/>
      <c r="FT119" s="309"/>
      <c r="FU119" s="309"/>
      <c r="FV119" s="309"/>
      <c r="FW119" s="309"/>
      <c r="FX119" s="309"/>
      <c r="FY119" s="309"/>
      <c r="FZ119" s="309"/>
      <c r="GA119" s="309"/>
      <c r="GB119" s="309"/>
      <c r="GC119" s="309"/>
      <c r="GD119" s="309"/>
      <c r="GE119" s="309"/>
      <c r="GF119" s="309"/>
      <c r="GG119" s="309"/>
      <c r="GH119" s="309"/>
      <c r="GI119" s="309"/>
      <c r="GJ119" s="309"/>
      <c r="GK119" s="309"/>
      <c r="GL119" s="309"/>
      <c r="GM119" s="309"/>
      <c r="GN119" s="309"/>
      <c r="GO119" s="309"/>
      <c r="GP119" s="309"/>
      <c r="GQ119" s="309"/>
      <c r="GR119" s="309"/>
      <c r="GS119" s="309"/>
      <c r="GT119" s="309"/>
      <c r="GU119" s="309"/>
      <c r="GV119" s="309"/>
      <c r="GW119" s="309"/>
      <c r="GX119" s="309"/>
      <c r="GY119" s="309"/>
      <c r="GZ119" s="309"/>
      <c r="HA119" s="309"/>
      <c r="HB119" s="309"/>
      <c r="HC119" s="309"/>
      <c r="HD119" s="309"/>
      <c r="HE119" s="309"/>
      <c r="HF119" s="309"/>
      <c r="HG119" s="309"/>
      <c r="HH119" s="309"/>
      <c r="HI119" s="309"/>
      <c r="HJ119" s="309"/>
      <c r="HK119" s="309"/>
      <c r="HL119" s="309"/>
      <c r="HM119" s="309"/>
      <c r="HN119" s="309"/>
      <c r="HO119" s="309"/>
      <c r="HP119" s="309"/>
      <c r="HQ119" s="309"/>
      <c r="HR119" s="309"/>
      <c r="HS119" s="309"/>
      <c r="HT119" s="309"/>
      <c r="HU119" s="309"/>
      <c r="HV119" s="309"/>
      <c r="HW119" s="309"/>
      <c r="HX119" s="309"/>
      <c r="HY119" s="309"/>
      <c r="HZ119" s="309"/>
      <c r="IA119" s="309"/>
      <c r="IB119" s="309"/>
      <c r="IC119" s="309"/>
      <c r="ID119" s="309"/>
      <c r="IE119" s="309"/>
    </row>
    <row r="120" spans="1:239" ht="25.5">
      <c r="A120" s="310">
        <v>112</v>
      </c>
      <c r="B120" s="360">
        <v>42971</v>
      </c>
      <c r="C120" s="307" t="s">
        <v>517</v>
      </c>
      <c r="D120" s="310" t="s">
        <v>620</v>
      </c>
      <c r="E120" s="310">
        <v>0.4</v>
      </c>
      <c r="F120" s="355" t="s">
        <v>711</v>
      </c>
      <c r="G120" s="310" t="s">
        <v>522</v>
      </c>
      <c r="H120" s="310">
        <v>4.42</v>
      </c>
      <c r="I120" s="310">
        <v>1</v>
      </c>
      <c r="J120" s="310">
        <v>20</v>
      </c>
      <c r="K120" s="310">
        <v>1</v>
      </c>
      <c r="L120" s="348"/>
      <c r="M120" s="346">
        <f t="shared" si="6"/>
        <v>4.42</v>
      </c>
      <c r="N120" s="346">
        <f t="shared" si="7"/>
        <v>88.4</v>
      </c>
      <c r="O120" s="348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09"/>
      <c r="CX120" s="309"/>
      <c r="CY120" s="309"/>
      <c r="CZ120" s="309"/>
      <c r="DA120" s="309"/>
      <c r="DB120" s="309"/>
      <c r="DC120" s="309"/>
      <c r="DD120" s="309"/>
      <c r="DE120" s="309"/>
      <c r="DF120" s="309"/>
      <c r="DG120" s="309"/>
      <c r="DH120" s="309"/>
      <c r="DI120" s="309"/>
      <c r="DJ120" s="309"/>
      <c r="DK120" s="309"/>
      <c r="DL120" s="309"/>
      <c r="DM120" s="309"/>
      <c r="DN120" s="309"/>
      <c r="DO120" s="309"/>
      <c r="DP120" s="309"/>
      <c r="DQ120" s="309"/>
      <c r="DR120" s="309"/>
      <c r="DS120" s="309"/>
      <c r="DT120" s="309"/>
      <c r="DU120" s="309"/>
      <c r="DV120" s="309"/>
      <c r="DW120" s="309"/>
      <c r="DX120" s="309"/>
      <c r="DY120" s="309"/>
      <c r="DZ120" s="309"/>
      <c r="EA120" s="309"/>
      <c r="EB120" s="309"/>
      <c r="EC120" s="309"/>
      <c r="ED120" s="309"/>
      <c r="EE120" s="309"/>
      <c r="EF120" s="309"/>
      <c r="EG120" s="309"/>
      <c r="EH120" s="309"/>
      <c r="EI120" s="309"/>
      <c r="EJ120" s="309"/>
      <c r="EK120" s="309"/>
      <c r="EL120" s="309"/>
      <c r="EM120" s="309"/>
      <c r="EN120" s="309"/>
      <c r="EO120" s="309"/>
      <c r="EP120" s="309"/>
      <c r="EQ120" s="309"/>
      <c r="ER120" s="309"/>
      <c r="ES120" s="309"/>
      <c r="ET120" s="309"/>
      <c r="EU120" s="309"/>
      <c r="EV120" s="309"/>
      <c r="EW120" s="309"/>
      <c r="EX120" s="309"/>
      <c r="EY120" s="309"/>
      <c r="EZ120" s="309"/>
      <c r="FA120" s="309"/>
      <c r="FB120" s="309"/>
      <c r="FC120" s="309"/>
      <c r="FD120" s="309"/>
      <c r="FE120" s="309"/>
      <c r="FF120" s="309"/>
      <c r="FG120" s="309"/>
      <c r="FH120" s="309"/>
      <c r="FI120" s="309"/>
      <c r="FJ120" s="309"/>
      <c r="FK120" s="309"/>
      <c r="FL120" s="309"/>
      <c r="FM120" s="309"/>
      <c r="FN120" s="309"/>
      <c r="FO120" s="309"/>
      <c r="FP120" s="309"/>
      <c r="FQ120" s="309"/>
      <c r="FR120" s="309"/>
      <c r="FS120" s="309"/>
      <c r="FT120" s="309"/>
      <c r="FU120" s="309"/>
      <c r="FV120" s="309"/>
      <c r="FW120" s="309"/>
      <c r="FX120" s="309"/>
      <c r="FY120" s="309"/>
      <c r="FZ120" s="309"/>
      <c r="GA120" s="309"/>
      <c r="GB120" s="309"/>
      <c r="GC120" s="309"/>
      <c r="GD120" s="309"/>
      <c r="GE120" s="309"/>
      <c r="GF120" s="309"/>
      <c r="GG120" s="309"/>
      <c r="GH120" s="309"/>
      <c r="GI120" s="309"/>
      <c r="GJ120" s="309"/>
      <c r="GK120" s="309"/>
      <c r="GL120" s="309"/>
      <c r="GM120" s="309"/>
      <c r="GN120" s="309"/>
      <c r="GO120" s="309"/>
      <c r="GP120" s="309"/>
      <c r="GQ120" s="309"/>
      <c r="GR120" s="309"/>
      <c r="GS120" s="309"/>
      <c r="GT120" s="309"/>
      <c r="GU120" s="309"/>
      <c r="GV120" s="309"/>
      <c r="GW120" s="309"/>
      <c r="GX120" s="309"/>
      <c r="GY120" s="309"/>
      <c r="GZ120" s="309"/>
      <c r="HA120" s="309"/>
      <c r="HB120" s="309"/>
      <c r="HC120" s="309"/>
      <c r="HD120" s="309"/>
      <c r="HE120" s="309"/>
      <c r="HF120" s="309"/>
      <c r="HG120" s="309"/>
      <c r="HH120" s="309"/>
      <c r="HI120" s="309"/>
      <c r="HJ120" s="309"/>
      <c r="HK120" s="309"/>
      <c r="HL120" s="309"/>
      <c r="HM120" s="309"/>
      <c r="HN120" s="309"/>
      <c r="HO120" s="309"/>
      <c r="HP120" s="309"/>
      <c r="HQ120" s="309"/>
      <c r="HR120" s="309"/>
      <c r="HS120" s="309"/>
      <c r="HT120" s="309"/>
      <c r="HU120" s="309"/>
      <c r="HV120" s="309"/>
      <c r="HW120" s="309"/>
      <c r="HX120" s="309"/>
      <c r="HY120" s="309"/>
      <c r="HZ120" s="309"/>
      <c r="IA120" s="309"/>
      <c r="IB120" s="309"/>
      <c r="IC120" s="309"/>
      <c r="ID120" s="309"/>
      <c r="IE120" s="309"/>
    </row>
    <row r="121" spans="1:239" ht="25.5">
      <c r="A121" s="310">
        <v>113</v>
      </c>
      <c r="B121" s="360">
        <v>42971</v>
      </c>
      <c r="C121" s="307" t="s">
        <v>517</v>
      </c>
      <c r="D121" s="310" t="s">
        <v>621</v>
      </c>
      <c r="E121" s="310">
        <v>0.4</v>
      </c>
      <c r="F121" s="355" t="s">
        <v>711</v>
      </c>
      <c r="G121" s="310" t="s">
        <v>522</v>
      </c>
      <c r="H121" s="310">
        <v>4.42</v>
      </c>
      <c r="I121" s="310">
        <v>1</v>
      </c>
      <c r="J121" s="310">
        <v>19</v>
      </c>
      <c r="K121" s="310">
        <v>1</v>
      </c>
      <c r="L121" s="348"/>
      <c r="M121" s="346">
        <f t="shared" si="6"/>
        <v>4.42</v>
      </c>
      <c r="N121" s="346">
        <f t="shared" si="7"/>
        <v>83.98</v>
      </c>
      <c r="O121" s="348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/>
      <c r="DF121" s="309"/>
      <c r="DG121" s="309"/>
      <c r="DH121" s="309"/>
      <c r="DI121" s="309"/>
      <c r="DJ121" s="309"/>
      <c r="DK121" s="309"/>
      <c r="DL121" s="309"/>
      <c r="DM121" s="309"/>
      <c r="DN121" s="309"/>
      <c r="DO121" s="309"/>
      <c r="DP121" s="309"/>
      <c r="DQ121" s="309"/>
      <c r="DR121" s="309"/>
      <c r="DS121" s="309"/>
      <c r="DT121" s="309"/>
      <c r="DU121" s="309"/>
      <c r="DV121" s="309"/>
      <c r="DW121" s="309"/>
      <c r="DX121" s="309"/>
      <c r="DY121" s="309"/>
      <c r="DZ121" s="309"/>
      <c r="EA121" s="309"/>
      <c r="EB121" s="309"/>
      <c r="EC121" s="309"/>
      <c r="ED121" s="309"/>
      <c r="EE121" s="309"/>
      <c r="EF121" s="309"/>
      <c r="EG121" s="309"/>
      <c r="EH121" s="309"/>
      <c r="EI121" s="309"/>
      <c r="EJ121" s="309"/>
      <c r="EK121" s="309"/>
      <c r="EL121" s="309"/>
      <c r="EM121" s="309"/>
      <c r="EN121" s="309"/>
      <c r="EO121" s="309"/>
      <c r="EP121" s="309"/>
      <c r="EQ121" s="309"/>
      <c r="ER121" s="309"/>
      <c r="ES121" s="309"/>
      <c r="ET121" s="309"/>
      <c r="EU121" s="309"/>
      <c r="EV121" s="309"/>
      <c r="EW121" s="309"/>
      <c r="EX121" s="309"/>
      <c r="EY121" s="309"/>
      <c r="EZ121" s="309"/>
      <c r="FA121" s="309"/>
      <c r="FB121" s="309"/>
      <c r="FC121" s="309"/>
      <c r="FD121" s="309"/>
      <c r="FE121" s="309"/>
      <c r="FF121" s="309"/>
      <c r="FG121" s="309"/>
      <c r="FH121" s="309"/>
      <c r="FI121" s="309"/>
      <c r="FJ121" s="309"/>
      <c r="FK121" s="309"/>
      <c r="FL121" s="309"/>
      <c r="FM121" s="309"/>
      <c r="FN121" s="309"/>
      <c r="FO121" s="309"/>
      <c r="FP121" s="309"/>
      <c r="FQ121" s="309"/>
      <c r="FR121" s="309"/>
      <c r="FS121" s="309"/>
      <c r="FT121" s="309"/>
      <c r="FU121" s="309"/>
      <c r="FV121" s="309"/>
      <c r="FW121" s="309"/>
      <c r="FX121" s="309"/>
      <c r="FY121" s="309"/>
      <c r="FZ121" s="309"/>
      <c r="GA121" s="309"/>
      <c r="GB121" s="309"/>
      <c r="GC121" s="309"/>
      <c r="GD121" s="309"/>
      <c r="GE121" s="309"/>
      <c r="GF121" s="309"/>
      <c r="GG121" s="309"/>
      <c r="GH121" s="309"/>
      <c r="GI121" s="309"/>
      <c r="GJ121" s="309"/>
      <c r="GK121" s="309"/>
      <c r="GL121" s="309"/>
      <c r="GM121" s="309"/>
      <c r="GN121" s="309"/>
      <c r="GO121" s="309"/>
      <c r="GP121" s="309"/>
      <c r="GQ121" s="309"/>
      <c r="GR121" s="309"/>
      <c r="GS121" s="309"/>
      <c r="GT121" s="309"/>
      <c r="GU121" s="309"/>
      <c r="GV121" s="309"/>
      <c r="GW121" s="309"/>
      <c r="GX121" s="309"/>
      <c r="GY121" s="309"/>
      <c r="GZ121" s="309"/>
      <c r="HA121" s="309"/>
      <c r="HB121" s="309"/>
      <c r="HC121" s="309"/>
      <c r="HD121" s="309"/>
      <c r="HE121" s="309"/>
      <c r="HF121" s="309"/>
      <c r="HG121" s="309"/>
      <c r="HH121" s="309"/>
      <c r="HI121" s="309"/>
      <c r="HJ121" s="309"/>
      <c r="HK121" s="309"/>
      <c r="HL121" s="309"/>
      <c r="HM121" s="309"/>
      <c r="HN121" s="309"/>
      <c r="HO121" s="309"/>
      <c r="HP121" s="309"/>
      <c r="HQ121" s="309"/>
      <c r="HR121" s="309"/>
      <c r="HS121" s="309"/>
      <c r="HT121" s="309"/>
      <c r="HU121" s="309"/>
      <c r="HV121" s="309"/>
      <c r="HW121" s="309"/>
      <c r="HX121" s="309"/>
      <c r="HY121" s="309"/>
      <c r="HZ121" s="309"/>
      <c r="IA121" s="309"/>
      <c r="IB121" s="309"/>
      <c r="IC121" s="309"/>
      <c r="ID121" s="309"/>
      <c r="IE121" s="309"/>
    </row>
    <row r="122" spans="1:239" ht="25.5">
      <c r="A122" s="308">
        <v>114</v>
      </c>
      <c r="B122" s="359">
        <v>42979</v>
      </c>
      <c r="C122" s="305" t="s">
        <v>514</v>
      </c>
      <c r="D122" s="308" t="s">
        <v>622</v>
      </c>
      <c r="E122" s="308">
        <v>6</v>
      </c>
      <c r="F122" s="350" t="s">
        <v>711</v>
      </c>
      <c r="G122" s="308" t="s">
        <v>522</v>
      </c>
      <c r="H122" s="308">
        <v>0.67</v>
      </c>
      <c r="I122" s="308">
        <v>2</v>
      </c>
      <c r="J122" s="308">
        <v>290</v>
      </c>
      <c r="K122" s="308">
        <v>1</v>
      </c>
      <c r="L122" s="348"/>
      <c r="M122" s="346">
        <f t="shared" si="6"/>
        <v>1.34</v>
      </c>
      <c r="N122" s="346">
        <f t="shared" si="7"/>
        <v>194.3</v>
      </c>
      <c r="O122" s="348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  <c r="DB122" s="309"/>
      <c r="DC122" s="309"/>
      <c r="DD122" s="309"/>
      <c r="DE122" s="309"/>
      <c r="DF122" s="309"/>
      <c r="DG122" s="309"/>
      <c r="DH122" s="309"/>
      <c r="DI122" s="309"/>
      <c r="DJ122" s="309"/>
      <c r="DK122" s="309"/>
      <c r="DL122" s="309"/>
      <c r="DM122" s="309"/>
      <c r="DN122" s="309"/>
      <c r="DO122" s="309"/>
      <c r="DP122" s="309"/>
      <c r="DQ122" s="309"/>
      <c r="DR122" s="309"/>
      <c r="DS122" s="309"/>
      <c r="DT122" s="309"/>
      <c r="DU122" s="309"/>
      <c r="DV122" s="309"/>
      <c r="DW122" s="309"/>
      <c r="DX122" s="309"/>
      <c r="DY122" s="309"/>
      <c r="DZ122" s="309"/>
      <c r="EA122" s="309"/>
      <c r="EB122" s="309"/>
      <c r="EC122" s="309"/>
      <c r="ED122" s="309"/>
      <c r="EE122" s="309"/>
      <c r="EF122" s="309"/>
      <c r="EG122" s="309"/>
      <c r="EH122" s="309"/>
      <c r="EI122" s="309"/>
      <c r="EJ122" s="309"/>
      <c r="EK122" s="309"/>
      <c r="EL122" s="309"/>
      <c r="EM122" s="309"/>
      <c r="EN122" s="309"/>
      <c r="EO122" s="309"/>
      <c r="EP122" s="309"/>
      <c r="EQ122" s="309"/>
      <c r="ER122" s="309"/>
      <c r="ES122" s="309"/>
      <c r="ET122" s="309"/>
      <c r="EU122" s="309"/>
      <c r="EV122" s="309"/>
      <c r="EW122" s="309"/>
      <c r="EX122" s="309"/>
      <c r="EY122" s="309"/>
      <c r="EZ122" s="309"/>
      <c r="FA122" s="309"/>
      <c r="FB122" s="309"/>
      <c r="FC122" s="309"/>
      <c r="FD122" s="309"/>
      <c r="FE122" s="309"/>
      <c r="FF122" s="309"/>
      <c r="FG122" s="309"/>
      <c r="FH122" s="309"/>
      <c r="FI122" s="309"/>
      <c r="FJ122" s="309"/>
      <c r="FK122" s="309"/>
      <c r="FL122" s="309"/>
      <c r="FM122" s="309"/>
      <c r="FN122" s="309"/>
      <c r="FO122" s="309"/>
      <c r="FP122" s="309"/>
      <c r="FQ122" s="309"/>
      <c r="FR122" s="309"/>
      <c r="FS122" s="309"/>
      <c r="FT122" s="309"/>
      <c r="FU122" s="309"/>
      <c r="FV122" s="309"/>
      <c r="FW122" s="309"/>
      <c r="FX122" s="309"/>
      <c r="FY122" s="309"/>
      <c r="FZ122" s="309"/>
      <c r="GA122" s="309"/>
      <c r="GB122" s="309"/>
      <c r="GC122" s="309"/>
      <c r="GD122" s="309"/>
      <c r="GE122" s="309"/>
      <c r="GF122" s="309"/>
      <c r="GG122" s="309"/>
      <c r="GH122" s="309"/>
      <c r="GI122" s="309"/>
      <c r="GJ122" s="309"/>
      <c r="GK122" s="309"/>
      <c r="GL122" s="309"/>
      <c r="GM122" s="309"/>
      <c r="GN122" s="309"/>
      <c r="GO122" s="309"/>
      <c r="GP122" s="309"/>
      <c r="GQ122" s="309"/>
      <c r="GR122" s="309"/>
      <c r="GS122" s="309"/>
      <c r="GT122" s="309"/>
      <c r="GU122" s="309"/>
      <c r="GV122" s="309"/>
      <c r="GW122" s="309"/>
      <c r="GX122" s="309"/>
      <c r="GY122" s="309"/>
      <c r="GZ122" s="309"/>
      <c r="HA122" s="309"/>
      <c r="HB122" s="309"/>
      <c r="HC122" s="309"/>
      <c r="HD122" s="309"/>
      <c r="HE122" s="309"/>
      <c r="HF122" s="309"/>
      <c r="HG122" s="309"/>
      <c r="HH122" s="309"/>
      <c r="HI122" s="309"/>
      <c r="HJ122" s="309"/>
      <c r="HK122" s="309"/>
      <c r="HL122" s="309"/>
      <c r="HM122" s="309"/>
      <c r="HN122" s="309"/>
      <c r="HO122" s="309"/>
      <c r="HP122" s="309"/>
      <c r="HQ122" s="309"/>
      <c r="HR122" s="309"/>
      <c r="HS122" s="309"/>
      <c r="HT122" s="309"/>
      <c r="HU122" s="309"/>
      <c r="HV122" s="309"/>
      <c r="HW122" s="309"/>
      <c r="HX122" s="309"/>
      <c r="HY122" s="309"/>
      <c r="HZ122" s="309"/>
      <c r="IA122" s="309"/>
      <c r="IB122" s="309"/>
      <c r="IC122" s="309"/>
      <c r="ID122" s="309"/>
      <c r="IE122" s="309"/>
    </row>
    <row r="123" spans="1:239" ht="25.5">
      <c r="A123" s="308">
        <v>115</v>
      </c>
      <c r="B123" s="359">
        <v>42988</v>
      </c>
      <c r="C123" s="305" t="s">
        <v>514</v>
      </c>
      <c r="D123" s="308" t="s">
        <v>623</v>
      </c>
      <c r="E123" s="308">
        <v>0.4</v>
      </c>
      <c r="F123" s="350" t="s">
        <v>711</v>
      </c>
      <c r="G123" s="308" t="s">
        <v>516</v>
      </c>
      <c r="H123" s="308">
        <v>5.42</v>
      </c>
      <c r="I123" s="308">
        <v>2</v>
      </c>
      <c r="J123" s="308">
        <v>28</v>
      </c>
      <c r="K123" s="308">
        <v>1</v>
      </c>
      <c r="L123" s="348"/>
      <c r="M123" s="346">
        <f t="shared" si="6"/>
        <v>10.84</v>
      </c>
      <c r="N123" s="346">
        <f t="shared" si="7"/>
        <v>151.76</v>
      </c>
      <c r="O123" s="348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DI123" s="309"/>
      <c r="DJ123" s="309"/>
      <c r="DK123" s="309"/>
      <c r="DL123" s="309"/>
      <c r="DM123" s="309"/>
      <c r="DN123" s="309"/>
      <c r="DO123" s="309"/>
      <c r="DP123" s="309"/>
      <c r="DQ123" s="309"/>
      <c r="DR123" s="309"/>
      <c r="DS123" s="309"/>
      <c r="DT123" s="309"/>
      <c r="DU123" s="309"/>
      <c r="DV123" s="309"/>
      <c r="DW123" s="309"/>
      <c r="DX123" s="309"/>
      <c r="DY123" s="309"/>
      <c r="DZ123" s="309"/>
      <c r="EA123" s="309"/>
      <c r="EB123" s="309"/>
      <c r="EC123" s="309"/>
      <c r="ED123" s="309"/>
      <c r="EE123" s="309"/>
      <c r="EF123" s="309"/>
      <c r="EG123" s="309"/>
      <c r="EH123" s="309"/>
      <c r="EI123" s="309"/>
      <c r="EJ123" s="309"/>
      <c r="EK123" s="309"/>
      <c r="EL123" s="309"/>
      <c r="EM123" s="309"/>
      <c r="EN123" s="309"/>
      <c r="EO123" s="309"/>
      <c r="EP123" s="309"/>
      <c r="EQ123" s="309"/>
      <c r="ER123" s="309"/>
      <c r="ES123" s="309"/>
      <c r="ET123" s="309"/>
      <c r="EU123" s="309"/>
      <c r="EV123" s="309"/>
      <c r="EW123" s="309"/>
      <c r="EX123" s="309"/>
      <c r="EY123" s="309"/>
      <c r="EZ123" s="309"/>
      <c r="FA123" s="309"/>
      <c r="FB123" s="309"/>
      <c r="FC123" s="309"/>
      <c r="FD123" s="309"/>
      <c r="FE123" s="309"/>
      <c r="FF123" s="309"/>
      <c r="FG123" s="309"/>
      <c r="FH123" s="309"/>
      <c r="FI123" s="309"/>
      <c r="FJ123" s="309"/>
      <c r="FK123" s="309"/>
      <c r="FL123" s="309"/>
      <c r="FM123" s="309"/>
      <c r="FN123" s="309"/>
      <c r="FO123" s="309"/>
      <c r="FP123" s="309"/>
      <c r="FQ123" s="309"/>
      <c r="FR123" s="309"/>
      <c r="FS123" s="309"/>
      <c r="FT123" s="309"/>
      <c r="FU123" s="309"/>
      <c r="FV123" s="309"/>
      <c r="FW123" s="309"/>
      <c r="FX123" s="309"/>
      <c r="FY123" s="309"/>
      <c r="FZ123" s="309"/>
      <c r="GA123" s="309"/>
      <c r="GB123" s="309"/>
      <c r="GC123" s="309"/>
      <c r="GD123" s="309"/>
      <c r="GE123" s="309"/>
      <c r="GF123" s="309"/>
      <c r="GG123" s="309"/>
      <c r="GH123" s="309"/>
      <c r="GI123" s="309"/>
      <c r="GJ123" s="309"/>
      <c r="GK123" s="309"/>
      <c r="GL123" s="309"/>
      <c r="GM123" s="309"/>
      <c r="GN123" s="309"/>
      <c r="GO123" s="309"/>
      <c r="GP123" s="309"/>
      <c r="GQ123" s="309"/>
      <c r="GR123" s="309"/>
      <c r="GS123" s="309"/>
      <c r="GT123" s="309"/>
      <c r="GU123" s="309"/>
      <c r="GV123" s="309"/>
      <c r="GW123" s="309"/>
      <c r="GX123" s="309"/>
      <c r="GY123" s="309"/>
      <c r="GZ123" s="309"/>
      <c r="HA123" s="309"/>
      <c r="HB123" s="309"/>
      <c r="HC123" s="309"/>
      <c r="HD123" s="309"/>
      <c r="HE123" s="309"/>
      <c r="HF123" s="309"/>
      <c r="HG123" s="309"/>
      <c r="HH123" s="309"/>
      <c r="HI123" s="309"/>
      <c r="HJ123" s="309"/>
      <c r="HK123" s="309"/>
      <c r="HL123" s="309"/>
      <c r="HM123" s="309"/>
      <c r="HN123" s="309"/>
      <c r="HO123" s="309"/>
      <c r="HP123" s="309"/>
      <c r="HQ123" s="309"/>
      <c r="HR123" s="309"/>
      <c r="HS123" s="309"/>
      <c r="HT123" s="309"/>
      <c r="HU123" s="309"/>
      <c r="HV123" s="309"/>
      <c r="HW123" s="309"/>
      <c r="HX123" s="309"/>
      <c r="HY123" s="309"/>
      <c r="HZ123" s="309"/>
      <c r="IA123" s="309"/>
      <c r="IB123" s="309"/>
      <c r="IC123" s="309"/>
      <c r="ID123" s="309"/>
      <c r="IE123" s="309"/>
    </row>
    <row r="124" spans="1:239" ht="25.5">
      <c r="A124" s="310">
        <v>116</v>
      </c>
      <c r="B124" s="360">
        <v>42984</v>
      </c>
      <c r="C124" s="307" t="s">
        <v>517</v>
      </c>
      <c r="D124" s="310" t="s">
        <v>624</v>
      </c>
      <c r="E124" s="310">
        <v>10</v>
      </c>
      <c r="F124" s="355" t="s">
        <v>711</v>
      </c>
      <c r="G124" s="310" t="s">
        <v>522</v>
      </c>
      <c r="H124" s="310">
        <v>7.2</v>
      </c>
      <c r="I124" s="310">
        <v>8</v>
      </c>
      <c r="J124" s="310">
        <v>171.27</v>
      </c>
      <c r="K124" s="310">
        <v>1</v>
      </c>
      <c r="L124" s="348"/>
      <c r="M124" s="346">
        <f t="shared" si="6"/>
        <v>57.6</v>
      </c>
      <c r="N124" s="346">
        <f t="shared" si="7"/>
        <v>1233.144</v>
      </c>
      <c r="O124" s="348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  <c r="CR124" s="309"/>
      <c r="CS124" s="309"/>
      <c r="CT124" s="309"/>
      <c r="CU124" s="309"/>
      <c r="CV124" s="309"/>
      <c r="CW124" s="309"/>
      <c r="CX124" s="309"/>
      <c r="CY124" s="309"/>
      <c r="CZ124" s="309"/>
      <c r="DA124" s="309"/>
      <c r="DB124" s="309"/>
      <c r="DC124" s="309"/>
      <c r="DD124" s="309"/>
      <c r="DE124" s="309"/>
      <c r="DF124" s="309"/>
      <c r="DG124" s="309"/>
      <c r="DH124" s="309"/>
      <c r="DI124" s="309"/>
      <c r="DJ124" s="309"/>
      <c r="DK124" s="309"/>
      <c r="DL124" s="309"/>
      <c r="DM124" s="309"/>
      <c r="DN124" s="309"/>
      <c r="DO124" s="309"/>
      <c r="DP124" s="309"/>
      <c r="DQ124" s="309"/>
      <c r="DR124" s="309"/>
      <c r="DS124" s="309"/>
      <c r="DT124" s="309"/>
      <c r="DU124" s="309"/>
      <c r="DV124" s="309"/>
      <c r="DW124" s="309"/>
      <c r="DX124" s="309"/>
      <c r="DY124" s="309"/>
      <c r="DZ124" s="309"/>
      <c r="EA124" s="309"/>
      <c r="EB124" s="309"/>
      <c r="EC124" s="309"/>
      <c r="ED124" s="309"/>
      <c r="EE124" s="309"/>
      <c r="EF124" s="309"/>
      <c r="EG124" s="309"/>
      <c r="EH124" s="309"/>
      <c r="EI124" s="309"/>
      <c r="EJ124" s="309"/>
      <c r="EK124" s="309"/>
      <c r="EL124" s="309"/>
      <c r="EM124" s="309"/>
      <c r="EN124" s="309"/>
      <c r="EO124" s="309"/>
      <c r="EP124" s="309"/>
      <c r="EQ124" s="309"/>
      <c r="ER124" s="309"/>
      <c r="ES124" s="309"/>
      <c r="ET124" s="309"/>
      <c r="EU124" s="309"/>
      <c r="EV124" s="309"/>
      <c r="EW124" s="309"/>
      <c r="EX124" s="309"/>
      <c r="EY124" s="309"/>
      <c r="EZ124" s="309"/>
      <c r="FA124" s="309"/>
      <c r="FB124" s="309"/>
      <c r="FC124" s="309"/>
      <c r="FD124" s="309"/>
      <c r="FE124" s="309"/>
      <c r="FF124" s="309"/>
      <c r="FG124" s="309"/>
      <c r="FH124" s="309"/>
      <c r="FI124" s="309"/>
      <c r="FJ124" s="309"/>
      <c r="FK124" s="309"/>
      <c r="FL124" s="309"/>
      <c r="FM124" s="309"/>
      <c r="FN124" s="309"/>
      <c r="FO124" s="309"/>
      <c r="FP124" s="309"/>
      <c r="FQ124" s="309"/>
      <c r="FR124" s="309"/>
      <c r="FS124" s="309"/>
      <c r="FT124" s="309"/>
      <c r="FU124" s="309"/>
      <c r="FV124" s="309"/>
      <c r="FW124" s="309"/>
      <c r="FX124" s="309"/>
      <c r="FY124" s="309"/>
      <c r="FZ124" s="309"/>
      <c r="GA124" s="309"/>
      <c r="GB124" s="309"/>
      <c r="GC124" s="309"/>
      <c r="GD124" s="309"/>
      <c r="GE124" s="309"/>
      <c r="GF124" s="309"/>
      <c r="GG124" s="309"/>
      <c r="GH124" s="309"/>
      <c r="GI124" s="309"/>
      <c r="GJ124" s="309"/>
      <c r="GK124" s="309"/>
      <c r="GL124" s="309"/>
      <c r="GM124" s="309"/>
      <c r="GN124" s="309"/>
      <c r="GO124" s="309"/>
      <c r="GP124" s="309"/>
      <c r="GQ124" s="309"/>
      <c r="GR124" s="309"/>
      <c r="GS124" s="309"/>
      <c r="GT124" s="309"/>
      <c r="GU124" s="309"/>
      <c r="GV124" s="309"/>
      <c r="GW124" s="309"/>
      <c r="GX124" s="309"/>
      <c r="GY124" s="309"/>
      <c r="GZ124" s="309"/>
      <c r="HA124" s="309"/>
      <c r="HB124" s="309"/>
      <c r="HC124" s="309"/>
      <c r="HD124" s="309"/>
      <c r="HE124" s="309"/>
      <c r="HF124" s="309"/>
      <c r="HG124" s="309"/>
      <c r="HH124" s="309"/>
      <c r="HI124" s="309"/>
      <c r="HJ124" s="309"/>
      <c r="HK124" s="309"/>
      <c r="HL124" s="309"/>
      <c r="HM124" s="309"/>
      <c r="HN124" s="309"/>
      <c r="HO124" s="309"/>
      <c r="HP124" s="309"/>
      <c r="HQ124" s="309"/>
      <c r="HR124" s="309"/>
      <c r="HS124" s="309"/>
      <c r="HT124" s="309"/>
      <c r="HU124" s="309"/>
      <c r="HV124" s="309"/>
      <c r="HW124" s="309"/>
      <c r="HX124" s="309"/>
      <c r="HY124" s="309"/>
      <c r="HZ124" s="309"/>
      <c r="IA124" s="309"/>
      <c r="IB124" s="309"/>
      <c r="IC124" s="309"/>
      <c r="ID124" s="309"/>
      <c r="IE124" s="309"/>
    </row>
    <row r="125" spans="1:239" ht="25.5">
      <c r="A125" s="310">
        <v>117</v>
      </c>
      <c r="B125" s="360">
        <v>42985</v>
      </c>
      <c r="C125" s="307" t="s">
        <v>517</v>
      </c>
      <c r="D125" s="310" t="s">
        <v>625</v>
      </c>
      <c r="E125" s="310">
        <v>0.4</v>
      </c>
      <c r="F125" s="355" t="s">
        <v>711</v>
      </c>
      <c r="G125" s="310" t="s">
        <v>522</v>
      </c>
      <c r="H125" s="310">
        <v>6.83</v>
      </c>
      <c r="I125" s="310">
        <v>4</v>
      </c>
      <c r="J125" s="310">
        <v>8.51</v>
      </c>
      <c r="K125" s="310">
        <v>1</v>
      </c>
      <c r="L125" s="348"/>
      <c r="M125" s="346">
        <f t="shared" si="6"/>
        <v>27.32</v>
      </c>
      <c r="N125" s="346">
        <f t="shared" si="7"/>
        <v>58.1233</v>
      </c>
      <c r="O125" s="348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  <c r="CR125" s="309"/>
      <c r="CS125" s="309"/>
      <c r="CT125" s="309"/>
      <c r="CU125" s="309"/>
      <c r="CV125" s="309"/>
      <c r="CW125" s="309"/>
      <c r="CX125" s="309"/>
      <c r="CY125" s="309"/>
      <c r="CZ125" s="309"/>
      <c r="DA125" s="309"/>
      <c r="DB125" s="309"/>
      <c r="DC125" s="309"/>
      <c r="DD125" s="309"/>
      <c r="DE125" s="309"/>
      <c r="DF125" s="309"/>
      <c r="DG125" s="309"/>
      <c r="DH125" s="309"/>
      <c r="DI125" s="309"/>
      <c r="DJ125" s="309"/>
      <c r="DK125" s="309"/>
      <c r="DL125" s="309"/>
      <c r="DM125" s="309"/>
      <c r="DN125" s="309"/>
      <c r="DO125" s="309"/>
      <c r="DP125" s="309"/>
      <c r="DQ125" s="309"/>
      <c r="DR125" s="309"/>
      <c r="DS125" s="309"/>
      <c r="DT125" s="309"/>
      <c r="DU125" s="309"/>
      <c r="DV125" s="309"/>
      <c r="DW125" s="309"/>
      <c r="DX125" s="309"/>
      <c r="DY125" s="309"/>
      <c r="DZ125" s="309"/>
      <c r="EA125" s="309"/>
      <c r="EB125" s="309"/>
      <c r="EC125" s="309"/>
      <c r="ED125" s="309"/>
      <c r="EE125" s="309"/>
      <c r="EF125" s="309"/>
      <c r="EG125" s="309"/>
      <c r="EH125" s="309"/>
      <c r="EI125" s="309"/>
      <c r="EJ125" s="309"/>
      <c r="EK125" s="309"/>
      <c r="EL125" s="309"/>
      <c r="EM125" s="309"/>
      <c r="EN125" s="309"/>
      <c r="EO125" s="309"/>
      <c r="EP125" s="309"/>
      <c r="EQ125" s="309"/>
      <c r="ER125" s="309"/>
      <c r="ES125" s="309"/>
      <c r="ET125" s="309"/>
      <c r="EU125" s="309"/>
      <c r="EV125" s="309"/>
      <c r="EW125" s="309"/>
      <c r="EX125" s="309"/>
      <c r="EY125" s="309"/>
      <c r="EZ125" s="309"/>
      <c r="FA125" s="309"/>
      <c r="FB125" s="309"/>
      <c r="FC125" s="309"/>
      <c r="FD125" s="309"/>
      <c r="FE125" s="309"/>
      <c r="FF125" s="309"/>
      <c r="FG125" s="309"/>
      <c r="FH125" s="309"/>
      <c r="FI125" s="309"/>
      <c r="FJ125" s="309"/>
      <c r="FK125" s="309"/>
      <c r="FL125" s="309"/>
      <c r="FM125" s="309"/>
      <c r="FN125" s="309"/>
      <c r="FO125" s="309"/>
      <c r="FP125" s="309"/>
      <c r="FQ125" s="309"/>
      <c r="FR125" s="309"/>
      <c r="FS125" s="309"/>
      <c r="FT125" s="309"/>
      <c r="FU125" s="309"/>
      <c r="FV125" s="309"/>
      <c r="FW125" s="309"/>
      <c r="FX125" s="309"/>
      <c r="FY125" s="309"/>
      <c r="FZ125" s="309"/>
      <c r="GA125" s="309"/>
      <c r="GB125" s="309"/>
      <c r="GC125" s="309"/>
      <c r="GD125" s="309"/>
      <c r="GE125" s="309"/>
      <c r="GF125" s="309"/>
      <c r="GG125" s="309"/>
      <c r="GH125" s="309"/>
      <c r="GI125" s="309"/>
      <c r="GJ125" s="309"/>
      <c r="GK125" s="309"/>
      <c r="GL125" s="309"/>
      <c r="GM125" s="309"/>
      <c r="GN125" s="309"/>
      <c r="GO125" s="309"/>
      <c r="GP125" s="309"/>
      <c r="GQ125" s="309"/>
      <c r="GR125" s="309"/>
      <c r="GS125" s="309"/>
      <c r="GT125" s="309"/>
      <c r="GU125" s="309"/>
      <c r="GV125" s="309"/>
      <c r="GW125" s="309"/>
      <c r="GX125" s="309"/>
      <c r="GY125" s="309"/>
      <c r="GZ125" s="309"/>
      <c r="HA125" s="309"/>
      <c r="HB125" s="309"/>
      <c r="HC125" s="309"/>
      <c r="HD125" s="309"/>
      <c r="HE125" s="309"/>
      <c r="HF125" s="309"/>
      <c r="HG125" s="309"/>
      <c r="HH125" s="309"/>
      <c r="HI125" s="309"/>
      <c r="HJ125" s="309"/>
      <c r="HK125" s="309"/>
      <c r="HL125" s="309"/>
      <c r="HM125" s="309"/>
      <c r="HN125" s="309"/>
      <c r="HO125" s="309"/>
      <c r="HP125" s="309"/>
      <c r="HQ125" s="309"/>
      <c r="HR125" s="309"/>
      <c r="HS125" s="309"/>
      <c r="HT125" s="309"/>
      <c r="HU125" s="309"/>
      <c r="HV125" s="309"/>
      <c r="HW125" s="309"/>
      <c r="HX125" s="309"/>
      <c r="HY125" s="309"/>
      <c r="HZ125" s="309"/>
      <c r="IA125" s="309"/>
      <c r="IB125" s="309"/>
      <c r="IC125" s="309"/>
      <c r="ID125" s="309"/>
      <c r="IE125" s="309"/>
    </row>
    <row r="126" spans="1:239" ht="25.5">
      <c r="A126" s="310">
        <v>118</v>
      </c>
      <c r="B126" s="360">
        <v>42989</v>
      </c>
      <c r="C126" s="307" t="s">
        <v>517</v>
      </c>
      <c r="D126" s="310" t="s">
        <v>626</v>
      </c>
      <c r="E126" s="310">
        <v>0.4</v>
      </c>
      <c r="F126" s="355" t="s">
        <v>711</v>
      </c>
      <c r="G126" s="310" t="s">
        <v>529</v>
      </c>
      <c r="H126" s="310">
        <v>1.75</v>
      </c>
      <c r="I126" s="310">
        <v>2</v>
      </c>
      <c r="J126" s="310">
        <v>40.7</v>
      </c>
      <c r="K126" s="310">
        <v>0</v>
      </c>
      <c r="L126" s="348"/>
      <c r="M126" s="346">
        <f t="shared" si="6"/>
        <v>3.5</v>
      </c>
      <c r="N126" s="346">
        <f t="shared" si="7"/>
        <v>71.22500000000001</v>
      </c>
      <c r="O126" s="348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  <c r="CR126" s="309"/>
      <c r="CS126" s="309"/>
      <c r="CT126" s="309"/>
      <c r="CU126" s="309"/>
      <c r="CV126" s="309"/>
      <c r="CW126" s="309"/>
      <c r="CX126" s="309"/>
      <c r="CY126" s="309"/>
      <c r="CZ126" s="309"/>
      <c r="DA126" s="309"/>
      <c r="DB126" s="309"/>
      <c r="DC126" s="309"/>
      <c r="DD126" s="309"/>
      <c r="DE126" s="309"/>
      <c r="DF126" s="309"/>
      <c r="DG126" s="309"/>
      <c r="DH126" s="309"/>
      <c r="DI126" s="309"/>
      <c r="DJ126" s="309"/>
      <c r="DK126" s="309"/>
      <c r="DL126" s="309"/>
      <c r="DM126" s="309"/>
      <c r="DN126" s="309"/>
      <c r="DO126" s="309"/>
      <c r="DP126" s="309"/>
      <c r="DQ126" s="309"/>
      <c r="DR126" s="309"/>
      <c r="DS126" s="309"/>
      <c r="DT126" s="309"/>
      <c r="DU126" s="309"/>
      <c r="DV126" s="309"/>
      <c r="DW126" s="309"/>
      <c r="DX126" s="309"/>
      <c r="DY126" s="309"/>
      <c r="DZ126" s="309"/>
      <c r="EA126" s="309"/>
      <c r="EB126" s="309"/>
      <c r="EC126" s="309"/>
      <c r="ED126" s="309"/>
      <c r="EE126" s="309"/>
      <c r="EF126" s="309"/>
      <c r="EG126" s="309"/>
      <c r="EH126" s="309"/>
      <c r="EI126" s="309"/>
      <c r="EJ126" s="309"/>
      <c r="EK126" s="309"/>
      <c r="EL126" s="309"/>
      <c r="EM126" s="309"/>
      <c r="EN126" s="309"/>
      <c r="EO126" s="309"/>
      <c r="EP126" s="309"/>
      <c r="EQ126" s="309"/>
      <c r="ER126" s="309"/>
      <c r="ES126" s="309"/>
      <c r="ET126" s="309"/>
      <c r="EU126" s="309"/>
      <c r="EV126" s="309"/>
      <c r="EW126" s="309"/>
      <c r="EX126" s="309"/>
      <c r="EY126" s="309"/>
      <c r="EZ126" s="309"/>
      <c r="FA126" s="309"/>
      <c r="FB126" s="309"/>
      <c r="FC126" s="309"/>
      <c r="FD126" s="309"/>
      <c r="FE126" s="309"/>
      <c r="FF126" s="309"/>
      <c r="FG126" s="309"/>
      <c r="FH126" s="309"/>
      <c r="FI126" s="309"/>
      <c r="FJ126" s="309"/>
      <c r="FK126" s="309"/>
      <c r="FL126" s="309"/>
      <c r="FM126" s="309"/>
      <c r="FN126" s="309"/>
      <c r="FO126" s="309"/>
      <c r="FP126" s="309"/>
      <c r="FQ126" s="309"/>
      <c r="FR126" s="309"/>
      <c r="FS126" s="309"/>
      <c r="FT126" s="309"/>
      <c r="FU126" s="309"/>
      <c r="FV126" s="309"/>
      <c r="FW126" s="309"/>
      <c r="FX126" s="309"/>
      <c r="FY126" s="309"/>
      <c r="FZ126" s="309"/>
      <c r="GA126" s="309"/>
      <c r="GB126" s="309"/>
      <c r="GC126" s="309"/>
      <c r="GD126" s="309"/>
      <c r="GE126" s="309"/>
      <c r="GF126" s="309"/>
      <c r="GG126" s="309"/>
      <c r="GH126" s="309"/>
      <c r="GI126" s="309"/>
      <c r="GJ126" s="309"/>
      <c r="GK126" s="309"/>
      <c r="GL126" s="309"/>
      <c r="GM126" s="309"/>
      <c r="GN126" s="309"/>
      <c r="GO126" s="309"/>
      <c r="GP126" s="309"/>
      <c r="GQ126" s="309"/>
      <c r="GR126" s="309"/>
      <c r="GS126" s="309"/>
      <c r="GT126" s="309"/>
      <c r="GU126" s="309"/>
      <c r="GV126" s="309"/>
      <c r="GW126" s="309"/>
      <c r="GX126" s="309"/>
      <c r="GY126" s="309"/>
      <c r="GZ126" s="309"/>
      <c r="HA126" s="309"/>
      <c r="HB126" s="309"/>
      <c r="HC126" s="309"/>
      <c r="HD126" s="309"/>
      <c r="HE126" s="309"/>
      <c r="HF126" s="309"/>
      <c r="HG126" s="309"/>
      <c r="HH126" s="309"/>
      <c r="HI126" s="309"/>
      <c r="HJ126" s="309"/>
      <c r="HK126" s="309"/>
      <c r="HL126" s="309"/>
      <c r="HM126" s="309"/>
      <c r="HN126" s="309"/>
      <c r="HO126" s="309"/>
      <c r="HP126" s="309"/>
      <c r="HQ126" s="309"/>
      <c r="HR126" s="309"/>
      <c r="HS126" s="309"/>
      <c r="HT126" s="309"/>
      <c r="HU126" s="309"/>
      <c r="HV126" s="309"/>
      <c r="HW126" s="309"/>
      <c r="HX126" s="309"/>
      <c r="HY126" s="309"/>
      <c r="HZ126" s="309"/>
      <c r="IA126" s="309"/>
      <c r="IB126" s="309"/>
      <c r="IC126" s="309"/>
      <c r="ID126" s="309"/>
      <c r="IE126" s="309"/>
    </row>
    <row r="127" spans="1:239" ht="25.5">
      <c r="A127" s="310">
        <v>119</v>
      </c>
      <c r="B127" s="360">
        <v>42992</v>
      </c>
      <c r="C127" s="307" t="s">
        <v>517</v>
      </c>
      <c r="D127" s="310" t="s">
        <v>627</v>
      </c>
      <c r="E127" s="310">
        <v>0.4</v>
      </c>
      <c r="F127" s="355" t="s">
        <v>711</v>
      </c>
      <c r="G127" s="310" t="s">
        <v>529</v>
      </c>
      <c r="H127" s="310">
        <v>2.33</v>
      </c>
      <c r="I127" s="310">
        <v>2</v>
      </c>
      <c r="J127" s="310">
        <v>17.23</v>
      </c>
      <c r="K127" s="310">
        <v>0</v>
      </c>
      <c r="L127" s="348"/>
      <c r="M127" s="346">
        <f t="shared" si="6"/>
        <v>4.66</v>
      </c>
      <c r="N127" s="346">
        <f t="shared" si="7"/>
        <v>40.145900000000005</v>
      </c>
      <c r="O127" s="348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  <c r="CR127" s="309"/>
      <c r="CS127" s="309"/>
      <c r="CT127" s="309"/>
      <c r="CU127" s="309"/>
      <c r="CV127" s="309"/>
      <c r="CW127" s="309"/>
      <c r="CX127" s="309"/>
      <c r="CY127" s="309"/>
      <c r="CZ127" s="309"/>
      <c r="DA127" s="309"/>
      <c r="DB127" s="309"/>
      <c r="DC127" s="309"/>
      <c r="DD127" s="309"/>
      <c r="DE127" s="309"/>
      <c r="DF127" s="309"/>
      <c r="DG127" s="309"/>
      <c r="DH127" s="309"/>
      <c r="DI127" s="309"/>
      <c r="DJ127" s="309"/>
      <c r="DK127" s="309"/>
      <c r="DL127" s="309"/>
      <c r="DM127" s="309"/>
      <c r="DN127" s="309"/>
      <c r="DO127" s="309"/>
      <c r="DP127" s="309"/>
      <c r="DQ127" s="309"/>
      <c r="DR127" s="309"/>
      <c r="DS127" s="309"/>
      <c r="DT127" s="309"/>
      <c r="DU127" s="309"/>
      <c r="DV127" s="309"/>
      <c r="DW127" s="309"/>
      <c r="DX127" s="309"/>
      <c r="DY127" s="309"/>
      <c r="DZ127" s="309"/>
      <c r="EA127" s="309"/>
      <c r="EB127" s="309"/>
      <c r="EC127" s="309"/>
      <c r="ED127" s="309"/>
      <c r="EE127" s="309"/>
      <c r="EF127" s="309"/>
      <c r="EG127" s="309"/>
      <c r="EH127" s="309"/>
      <c r="EI127" s="309"/>
      <c r="EJ127" s="309"/>
      <c r="EK127" s="309"/>
      <c r="EL127" s="309"/>
      <c r="EM127" s="309"/>
      <c r="EN127" s="309"/>
      <c r="EO127" s="309"/>
      <c r="EP127" s="309"/>
      <c r="EQ127" s="309"/>
      <c r="ER127" s="309"/>
      <c r="ES127" s="309"/>
      <c r="ET127" s="309"/>
      <c r="EU127" s="309"/>
      <c r="EV127" s="309"/>
      <c r="EW127" s="309"/>
      <c r="EX127" s="309"/>
      <c r="EY127" s="309"/>
      <c r="EZ127" s="309"/>
      <c r="FA127" s="309"/>
      <c r="FB127" s="309"/>
      <c r="FC127" s="309"/>
      <c r="FD127" s="309"/>
      <c r="FE127" s="309"/>
      <c r="FF127" s="309"/>
      <c r="FG127" s="309"/>
      <c r="FH127" s="309"/>
      <c r="FI127" s="309"/>
      <c r="FJ127" s="309"/>
      <c r="FK127" s="309"/>
      <c r="FL127" s="309"/>
      <c r="FM127" s="309"/>
      <c r="FN127" s="309"/>
      <c r="FO127" s="309"/>
      <c r="FP127" s="309"/>
      <c r="FQ127" s="309"/>
      <c r="FR127" s="309"/>
      <c r="FS127" s="309"/>
      <c r="FT127" s="309"/>
      <c r="FU127" s="309"/>
      <c r="FV127" s="309"/>
      <c r="FW127" s="309"/>
      <c r="FX127" s="309"/>
      <c r="FY127" s="309"/>
      <c r="FZ127" s="309"/>
      <c r="GA127" s="309"/>
      <c r="GB127" s="309"/>
      <c r="GC127" s="309"/>
      <c r="GD127" s="309"/>
      <c r="GE127" s="309"/>
      <c r="GF127" s="309"/>
      <c r="GG127" s="309"/>
      <c r="GH127" s="309"/>
      <c r="GI127" s="309"/>
      <c r="GJ127" s="309"/>
      <c r="GK127" s="309"/>
      <c r="GL127" s="309"/>
      <c r="GM127" s="309"/>
      <c r="GN127" s="309"/>
      <c r="GO127" s="309"/>
      <c r="GP127" s="309"/>
      <c r="GQ127" s="309"/>
      <c r="GR127" s="309"/>
      <c r="GS127" s="309"/>
      <c r="GT127" s="309"/>
      <c r="GU127" s="309"/>
      <c r="GV127" s="309"/>
      <c r="GW127" s="309"/>
      <c r="GX127" s="309"/>
      <c r="GY127" s="309"/>
      <c r="GZ127" s="309"/>
      <c r="HA127" s="309"/>
      <c r="HB127" s="309"/>
      <c r="HC127" s="309"/>
      <c r="HD127" s="309"/>
      <c r="HE127" s="309"/>
      <c r="HF127" s="309"/>
      <c r="HG127" s="309"/>
      <c r="HH127" s="309"/>
      <c r="HI127" s="309"/>
      <c r="HJ127" s="309"/>
      <c r="HK127" s="309"/>
      <c r="HL127" s="309"/>
      <c r="HM127" s="309"/>
      <c r="HN127" s="309"/>
      <c r="HO127" s="309"/>
      <c r="HP127" s="309"/>
      <c r="HQ127" s="309"/>
      <c r="HR127" s="309"/>
      <c r="HS127" s="309"/>
      <c r="HT127" s="309"/>
      <c r="HU127" s="309"/>
      <c r="HV127" s="309"/>
      <c r="HW127" s="309"/>
      <c r="HX127" s="309"/>
      <c r="HY127" s="309"/>
      <c r="HZ127" s="309"/>
      <c r="IA127" s="309"/>
      <c r="IB127" s="309"/>
      <c r="IC127" s="309"/>
      <c r="ID127" s="309"/>
      <c r="IE127" s="309"/>
    </row>
    <row r="128" spans="1:239" ht="25.5">
      <c r="A128" s="310">
        <v>120</v>
      </c>
      <c r="B128" s="360">
        <v>43005</v>
      </c>
      <c r="C128" s="307" t="s">
        <v>517</v>
      </c>
      <c r="D128" s="310" t="s">
        <v>628</v>
      </c>
      <c r="E128" s="310">
        <v>0.4</v>
      </c>
      <c r="F128" s="355" t="s">
        <v>711</v>
      </c>
      <c r="G128" s="310" t="s">
        <v>522</v>
      </c>
      <c r="H128" s="310">
        <v>4.17</v>
      </c>
      <c r="I128" s="310">
        <v>9</v>
      </c>
      <c r="J128" s="310">
        <v>18.89</v>
      </c>
      <c r="K128" s="310">
        <v>1</v>
      </c>
      <c r="L128" s="348"/>
      <c r="M128" s="346">
        <f t="shared" si="6"/>
        <v>37.53</v>
      </c>
      <c r="N128" s="346">
        <f t="shared" si="7"/>
        <v>78.7713</v>
      </c>
      <c r="O128" s="348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DI128" s="309"/>
      <c r="DJ128" s="309"/>
      <c r="DK128" s="309"/>
      <c r="DL128" s="309"/>
      <c r="DM128" s="309"/>
      <c r="DN128" s="309"/>
      <c r="DO128" s="309"/>
      <c r="DP128" s="309"/>
      <c r="DQ128" s="309"/>
      <c r="DR128" s="309"/>
      <c r="DS128" s="309"/>
      <c r="DT128" s="309"/>
      <c r="DU128" s="309"/>
      <c r="DV128" s="309"/>
      <c r="DW128" s="309"/>
      <c r="DX128" s="309"/>
      <c r="DY128" s="309"/>
      <c r="DZ128" s="309"/>
      <c r="EA128" s="309"/>
      <c r="EB128" s="309"/>
      <c r="EC128" s="309"/>
      <c r="ED128" s="309"/>
      <c r="EE128" s="309"/>
      <c r="EF128" s="309"/>
      <c r="EG128" s="309"/>
      <c r="EH128" s="309"/>
      <c r="EI128" s="309"/>
      <c r="EJ128" s="309"/>
      <c r="EK128" s="309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309"/>
      <c r="EV128" s="309"/>
      <c r="EW128" s="309"/>
      <c r="EX128" s="309"/>
      <c r="EY128" s="309"/>
      <c r="EZ128" s="309"/>
      <c r="FA128" s="309"/>
      <c r="FB128" s="309"/>
      <c r="FC128" s="309"/>
      <c r="FD128" s="309"/>
      <c r="FE128" s="309"/>
      <c r="FF128" s="309"/>
      <c r="FG128" s="309"/>
      <c r="FH128" s="309"/>
      <c r="FI128" s="309"/>
      <c r="FJ128" s="309"/>
      <c r="FK128" s="309"/>
      <c r="FL128" s="309"/>
      <c r="FM128" s="309"/>
      <c r="FN128" s="309"/>
      <c r="FO128" s="309"/>
      <c r="FP128" s="309"/>
      <c r="FQ128" s="309"/>
      <c r="FR128" s="309"/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09"/>
      <c r="GD128" s="309"/>
      <c r="GE128" s="309"/>
      <c r="GF128" s="309"/>
      <c r="GG128" s="309"/>
      <c r="GH128" s="309"/>
      <c r="GI128" s="309"/>
      <c r="GJ128" s="309"/>
      <c r="GK128" s="309"/>
      <c r="GL128" s="309"/>
      <c r="GM128" s="309"/>
      <c r="GN128" s="309"/>
      <c r="GO128" s="309"/>
      <c r="GP128" s="309"/>
      <c r="GQ128" s="309"/>
      <c r="GR128" s="309"/>
      <c r="GS128" s="309"/>
      <c r="GT128" s="309"/>
      <c r="GU128" s="309"/>
      <c r="GV128" s="309"/>
      <c r="GW128" s="309"/>
      <c r="GX128" s="309"/>
      <c r="GY128" s="309"/>
      <c r="GZ128" s="309"/>
      <c r="HA128" s="309"/>
      <c r="HB128" s="309"/>
      <c r="HC128" s="309"/>
      <c r="HD128" s="309"/>
      <c r="HE128" s="309"/>
      <c r="HF128" s="309"/>
      <c r="HG128" s="309"/>
      <c r="HH128" s="309"/>
      <c r="HI128" s="309"/>
      <c r="HJ128" s="309"/>
      <c r="HK128" s="309"/>
      <c r="HL128" s="309"/>
      <c r="HM128" s="309"/>
      <c r="HN128" s="309"/>
      <c r="HO128" s="309"/>
      <c r="HP128" s="309"/>
      <c r="HQ128" s="309"/>
      <c r="HR128" s="309"/>
      <c r="HS128" s="309"/>
      <c r="HT128" s="309"/>
      <c r="HU128" s="309"/>
      <c r="HV128" s="309"/>
      <c r="HW128" s="309"/>
      <c r="HX128" s="309"/>
      <c r="HY128" s="309"/>
      <c r="HZ128" s="309"/>
      <c r="IA128" s="309"/>
      <c r="IB128" s="309"/>
      <c r="IC128" s="309"/>
      <c r="ID128" s="309"/>
      <c r="IE128" s="309"/>
    </row>
    <row r="129" spans="1:239" ht="25.5">
      <c r="A129" s="310">
        <v>121</v>
      </c>
      <c r="B129" s="360">
        <v>42982</v>
      </c>
      <c r="C129" s="307" t="s">
        <v>517</v>
      </c>
      <c r="D129" s="310" t="s">
        <v>629</v>
      </c>
      <c r="E129" s="310">
        <v>0.4</v>
      </c>
      <c r="F129" s="355" t="s">
        <v>711</v>
      </c>
      <c r="G129" s="310" t="s">
        <v>522</v>
      </c>
      <c r="H129" s="310">
        <v>2.75</v>
      </c>
      <c r="I129" s="310">
        <v>1</v>
      </c>
      <c r="J129" s="310">
        <v>16</v>
      </c>
      <c r="K129" s="310">
        <v>1</v>
      </c>
      <c r="L129" s="348"/>
      <c r="M129" s="346">
        <f t="shared" si="6"/>
        <v>2.75</v>
      </c>
      <c r="N129" s="346">
        <f t="shared" si="7"/>
        <v>44</v>
      </c>
      <c r="O129" s="348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  <c r="BX129" s="309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  <c r="DB129" s="309"/>
      <c r="DC129" s="309"/>
      <c r="DD129" s="309"/>
      <c r="DE129" s="309"/>
      <c r="DF129" s="309"/>
      <c r="DG129" s="309"/>
      <c r="DH129" s="309"/>
      <c r="DI129" s="309"/>
      <c r="DJ129" s="309"/>
      <c r="DK129" s="309"/>
      <c r="DL129" s="309"/>
      <c r="DM129" s="309"/>
      <c r="DN129" s="309"/>
      <c r="DO129" s="309"/>
      <c r="DP129" s="309"/>
      <c r="DQ129" s="309"/>
      <c r="DR129" s="309"/>
      <c r="DS129" s="309"/>
      <c r="DT129" s="309"/>
      <c r="DU129" s="309"/>
      <c r="DV129" s="309"/>
      <c r="DW129" s="309"/>
      <c r="DX129" s="309"/>
      <c r="DY129" s="309"/>
      <c r="DZ129" s="309"/>
      <c r="EA129" s="309"/>
      <c r="EB129" s="309"/>
      <c r="EC129" s="309"/>
      <c r="ED129" s="309"/>
      <c r="EE129" s="309"/>
      <c r="EF129" s="309"/>
      <c r="EG129" s="309"/>
      <c r="EH129" s="309"/>
      <c r="EI129" s="309"/>
      <c r="EJ129" s="309"/>
      <c r="EK129" s="309"/>
      <c r="EL129" s="309"/>
      <c r="EM129" s="309"/>
      <c r="EN129" s="309"/>
      <c r="EO129" s="309"/>
      <c r="EP129" s="309"/>
      <c r="EQ129" s="309"/>
      <c r="ER129" s="309"/>
      <c r="ES129" s="309"/>
      <c r="ET129" s="309"/>
      <c r="EU129" s="309"/>
      <c r="EV129" s="309"/>
      <c r="EW129" s="309"/>
      <c r="EX129" s="309"/>
      <c r="EY129" s="309"/>
      <c r="EZ129" s="309"/>
      <c r="FA129" s="309"/>
      <c r="FB129" s="309"/>
      <c r="FC129" s="309"/>
      <c r="FD129" s="309"/>
      <c r="FE129" s="309"/>
      <c r="FF129" s="309"/>
      <c r="FG129" s="309"/>
      <c r="FH129" s="309"/>
      <c r="FI129" s="309"/>
      <c r="FJ129" s="309"/>
      <c r="FK129" s="309"/>
      <c r="FL129" s="309"/>
      <c r="FM129" s="309"/>
      <c r="FN129" s="309"/>
      <c r="FO129" s="309"/>
      <c r="FP129" s="309"/>
      <c r="FQ129" s="309"/>
      <c r="FR129" s="309"/>
      <c r="FS129" s="309"/>
      <c r="FT129" s="309"/>
      <c r="FU129" s="309"/>
      <c r="FV129" s="309"/>
      <c r="FW129" s="309"/>
      <c r="FX129" s="309"/>
      <c r="FY129" s="309"/>
      <c r="FZ129" s="309"/>
      <c r="GA129" s="309"/>
      <c r="GB129" s="309"/>
      <c r="GC129" s="309"/>
      <c r="GD129" s="309"/>
      <c r="GE129" s="309"/>
      <c r="GF129" s="309"/>
      <c r="GG129" s="309"/>
      <c r="GH129" s="309"/>
      <c r="GI129" s="309"/>
      <c r="GJ129" s="309"/>
      <c r="GK129" s="309"/>
      <c r="GL129" s="309"/>
      <c r="GM129" s="309"/>
      <c r="GN129" s="309"/>
      <c r="GO129" s="309"/>
      <c r="GP129" s="309"/>
      <c r="GQ129" s="309"/>
      <c r="GR129" s="309"/>
      <c r="GS129" s="309"/>
      <c r="GT129" s="309"/>
      <c r="GU129" s="309"/>
      <c r="GV129" s="309"/>
      <c r="GW129" s="309"/>
      <c r="GX129" s="309"/>
      <c r="GY129" s="309"/>
      <c r="GZ129" s="309"/>
      <c r="HA129" s="309"/>
      <c r="HB129" s="309"/>
      <c r="HC129" s="309"/>
      <c r="HD129" s="309"/>
      <c r="HE129" s="309"/>
      <c r="HF129" s="309"/>
      <c r="HG129" s="309"/>
      <c r="HH129" s="309"/>
      <c r="HI129" s="309"/>
      <c r="HJ129" s="309"/>
      <c r="HK129" s="309"/>
      <c r="HL129" s="309"/>
      <c r="HM129" s="309"/>
      <c r="HN129" s="309"/>
      <c r="HO129" s="309"/>
      <c r="HP129" s="309"/>
      <c r="HQ129" s="309"/>
      <c r="HR129" s="309"/>
      <c r="HS129" s="309"/>
      <c r="HT129" s="309"/>
      <c r="HU129" s="309"/>
      <c r="HV129" s="309"/>
      <c r="HW129" s="309"/>
      <c r="HX129" s="309"/>
      <c r="HY129" s="309"/>
      <c r="HZ129" s="309"/>
      <c r="IA129" s="309"/>
      <c r="IB129" s="309"/>
      <c r="IC129" s="309"/>
      <c r="ID129" s="309"/>
      <c r="IE129" s="309"/>
    </row>
    <row r="130" spans="1:239" ht="25.5">
      <c r="A130" s="310">
        <v>122</v>
      </c>
      <c r="B130" s="360">
        <v>42982</v>
      </c>
      <c r="C130" s="307" t="s">
        <v>517</v>
      </c>
      <c r="D130" s="310" t="s">
        <v>630</v>
      </c>
      <c r="E130" s="310">
        <v>0.4</v>
      </c>
      <c r="F130" s="355" t="s">
        <v>711</v>
      </c>
      <c r="G130" s="310" t="s">
        <v>522</v>
      </c>
      <c r="H130" s="310">
        <v>2.75</v>
      </c>
      <c r="I130" s="310">
        <v>1</v>
      </c>
      <c r="J130" s="310">
        <v>11</v>
      </c>
      <c r="K130" s="310">
        <v>1</v>
      </c>
      <c r="L130" s="348"/>
      <c r="M130" s="346">
        <f t="shared" si="6"/>
        <v>2.75</v>
      </c>
      <c r="N130" s="346">
        <f t="shared" si="7"/>
        <v>30.25</v>
      </c>
      <c r="O130" s="348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  <c r="DB130" s="309"/>
      <c r="DC130" s="309"/>
      <c r="DD130" s="309"/>
      <c r="DE130" s="309"/>
      <c r="DF130" s="309"/>
      <c r="DG130" s="309"/>
      <c r="DH130" s="309"/>
      <c r="DI130" s="309"/>
      <c r="DJ130" s="309"/>
      <c r="DK130" s="309"/>
      <c r="DL130" s="309"/>
      <c r="DM130" s="309"/>
      <c r="DN130" s="309"/>
      <c r="DO130" s="309"/>
      <c r="DP130" s="309"/>
      <c r="DQ130" s="309"/>
      <c r="DR130" s="309"/>
      <c r="DS130" s="309"/>
      <c r="DT130" s="309"/>
      <c r="DU130" s="309"/>
      <c r="DV130" s="309"/>
      <c r="DW130" s="309"/>
      <c r="DX130" s="309"/>
      <c r="DY130" s="309"/>
      <c r="DZ130" s="309"/>
      <c r="EA130" s="309"/>
      <c r="EB130" s="309"/>
      <c r="EC130" s="309"/>
      <c r="ED130" s="309"/>
      <c r="EE130" s="309"/>
      <c r="EF130" s="309"/>
      <c r="EG130" s="309"/>
      <c r="EH130" s="309"/>
      <c r="EI130" s="309"/>
      <c r="EJ130" s="309"/>
      <c r="EK130" s="309"/>
      <c r="EL130" s="309"/>
      <c r="EM130" s="309"/>
      <c r="EN130" s="309"/>
      <c r="EO130" s="309"/>
      <c r="EP130" s="309"/>
      <c r="EQ130" s="309"/>
      <c r="ER130" s="309"/>
      <c r="ES130" s="309"/>
      <c r="ET130" s="309"/>
      <c r="EU130" s="309"/>
      <c r="EV130" s="309"/>
      <c r="EW130" s="309"/>
      <c r="EX130" s="309"/>
      <c r="EY130" s="309"/>
      <c r="EZ130" s="309"/>
      <c r="FA130" s="309"/>
      <c r="FB130" s="309"/>
      <c r="FC130" s="309"/>
      <c r="FD130" s="309"/>
      <c r="FE130" s="309"/>
      <c r="FF130" s="309"/>
      <c r="FG130" s="309"/>
      <c r="FH130" s="309"/>
      <c r="FI130" s="309"/>
      <c r="FJ130" s="309"/>
      <c r="FK130" s="309"/>
      <c r="FL130" s="309"/>
      <c r="FM130" s="309"/>
      <c r="FN130" s="309"/>
      <c r="FO130" s="309"/>
      <c r="FP130" s="309"/>
      <c r="FQ130" s="309"/>
      <c r="FR130" s="309"/>
      <c r="FS130" s="309"/>
      <c r="FT130" s="309"/>
      <c r="FU130" s="309"/>
      <c r="FV130" s="309"/>
      <c r="FW130" s="309"/>
      <c r="FX130" s="309"/>
      <c r="FY130" s="309"/>
      <c r="FZ130" s="309"/>
      <c r="GA130" s="309"/>
      <c r="GB130" s="309"/>
      <c r="GC130" s="309"/>
      <c r="GD130" s="309"/>
      <c r="GE130" s="309"/>
      <c r="GF130" s="309"/>
      <c r="GG130" s="309"/>
      <c r="GH130" s="309"/>
      <c r="GI130" s="309"/>
      <c r="GJ130" s="309"/>
      <c r="GK130" s="309"/>
      <c r="GL130" s="309"/>
      <c r="GM130" s="309"/>
      <c r="GN130" s="309"/>
      <c r="GO130" s="309"/>
      <c r="GP130" s="309"/>
      <c r="GQ130" s="309"/>
      <c r="GR130" s="309"/>
      <c r="GS130" s="309"/>
      <c r="GT130" s="309"/>
      <c r="GU130" s="309"/>
      <c r="GV130" s="309"/>
      <c r="GW130" s="309"/>
      <c r="GX130" s="309"/>
      <c r="GY130" s="309"/>
      <c r="GZ130" s="309"/>
      <c r="HA130" s="309"/>
      <c r="HB130" s="309"/>
      <c r="HC130" s="309"/>
      <c r="HD130" s="309"/>
      <c r="HE130" s="309"/>
      <c r="HF130" s="309"/>
      <c r="HG130" s="309"/>
      <c r="HH130" s="309"/>
      <c r="HI130" s="309"/>
      <c r="HJ130" s="309"/>
      <c r="HK130" s="309"/>
      <c r="HL130" s="309"/>
      <c r="HM130" s="309"/>
      <c r="HN130" s="309"/>
      <c r="HO130" s="309"/>
      <c r="HP130" s="309"/>
      <c r="HQ130" s="309"/>
      <c r="HR130" s="309"/>
      <c r="HS130" s="309"/>
      <c r="HT130" s="309"/>
      <c r="HU130" s="309"/>
      <c r="HV130" s="309"/>
      <c r="HW130" s="309"/>
      <c r="HX130" s="309"/>
      <c r="HY130" s="309"/>
      <c r="HZ130" s="309"/>
      <c r="IA130" s="309"/>
      <c r="IB130" s="309"/>
      <c r="IC130" s="309"/>
      <c r="ID130" s="309"/>
      <c r="IE130" s="309"/>
    </row>
    <row r="131" spans="1:239" ht="25.5">
      <c r="A131" s="310">
        <v>123</v>
      </c>
      <c r="B131" s="360">
        <v>42983</v>
      </c>
      <c r="C131" s="307" t="s">
        <v>517</v>
      </c>
      <c r="D131" s="310" t="s">
        <v>631</v>
      </c>
      <c r="E131" s="310">
        <v>0.4</v>
      </c>
      <c r="F131" s="355" t="s">
        <v>711</v>
      </c>
      <c r="G131" s="310" t="s">
        <v>522</v>
      </c>
      <c r="H131" s="310">
        <v>2.75</v>
      </c>
      <c r="I131" s="310">
        <v>1</v>
      </c>
      <c r="J131" s="310">
        <v>18</v>
      </c>
      <c r="K131" s="310">
        <v>1</v>
      </c>
      <c r="L131" s="348"/>
      <c r="M131" s="346">
        <f t="shared" si="6"/>
        <v>2.75</v>
      </c>
      <c r="N131" s="346">
        <f t="shared" si="7"/>
        <v>49.5</v>
      </c>
      <c r="O131" s="348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  <c r="DB131" s="309"/>
      <c r="DC131" s="309"/>
      <c r="DD131" s="309"/>
      <c r="DE131" s="309"/>
      <c r="DF131" s="309"/>
      <c r="DG131" s="309"/>
      <c r="DH131" s="309"/>
      <c r="DI131" s="309"/>
      <c r="DJ131" s="309"/>
      <c r="DK131" s="309"/>
      <c r="DL131" s="309"/>
      <c r="DM131" s="309"/>
      <c r="DN131" s="309"/>
      <c r="DO131" s="309"/>
      <c r="DP131" s="309"/>
      <c r="DQ131" s="309"/>
      <c r="DR131" s="309"/>
      <c r="DS131" s="309"/>
      <c r="DT131" s="309"/>
      <c r="DU131" s="309"/>
      <c r="DV131" s="309"/>
      <c r="DW131" s="309"/>
      <c r="DX131" s="309"/>
      <c r="DY131" s="309"/>
      <c r="DZ131" s="309"/>
      <c r="EA131" s="309"/>
      <c r="EB131" s="309"/>
      <c r="EC131" s="309"/>
      <c r="ED131" s="309"/>
      <c r="EE131" s="309"/>
      <c r="EF131" s="309"/>
      <c r="EG131" s="309"/>
      <c r="EH131" s="309"/>
      <c r="EI131" s="309"/>
      <c r="EJ131" s="309"/>
      <c r="EK131" s="309"/>
      <c r="EL131" s="309"/>
      <c r="EM131" s="309"/>
      <c r="EN131" s="309"/>
      <c r="EO131" s="309"/>
      <c r="EP131" s="309"/>
      <c r="EQ131" s="309"/>
      <c r="ER131" s="309"/>
      <c r="ES131" s="309"/>
      <c r="ET131" s="309"/>
      <c r="EU131" s="309"/>
      <c r="EV131" s="309"/>
      <c r="EW131" s="309"/>
      <c r="EX131" s="309"/>
      <c r="EY131" s="309"/>
      <c r="EZ131" s="309"/>
      <c r="FA131" s="309"/>
      <c r="FB131" s="309"/>
      <c r="FC131" s="309"/>
      <c r="FD131" s="309"/>
      <c r="FE131" s="309"/>
      <c r="FF131" s="309"/>
      <c r="FG131" s="309"/>
      <c r="FH131" s="309"/>
      <c r="FI131" s="309"/>
      <c r="FJ131" s="309"/>
      <c r="FK131" s="309"/>
      <c r="FL131" s="309"/>
      <c r="FM131" s="309"/>
      <c r="FN131" s="309"/>
      <c r="FO131" s="309"/>
      <c r="FP131" s="309"/>
      <c r="FQ131" s="309"/>
      <c r="FR131" s="309"/>
      <c r="FS131" s="309"/>
      <c r="FT131" s="309"/>
      <c r="FU131" s="309"/>
      <c r="FV131" s="309"/>
      <c r="FW131" s="309"/>
      <c r="FX131" s="309"/>
      <c r="FY131" s="309"/>
      <c r="FZ131" s="309"/>
      <c r="GA131" s="309"/>
      <c r="GB131" s="309"/>
      <c r="GC131" s="309"/>
      <c r="GD131" s="309"/>
      <c r="GE131" s="309"/>
      <c r="GF131" s="309"/>
      <c r="GG131" s="309"/>
      <c r="GH131" s="309"/>
      <c r="GI131" s="309"/>
      <c r="GJ131" s="309"/>
      <c r="GK131" s="309"/>
      <c r="GL131" s="309"/>
      <c r="GM131" s="309"/>
      <c r="GN131" s="309"/>
      <c r="GO131" s="309"/>
      <c r="GP131" s="309"/>
      <c r="GQ131" s="309"/>
      <c r="GR131" s="309"/>
      <c r="GS131" s="309"/>
      <c r="GT131" s="309"/>
      <c r="GU131" s="309"/>
      <c r="GV131" s="309"/>
      <c r="GW131" s="309"/>
      <c r="GX131" s="309"/>
      <c r="GY131" s="309"/>
      <c r="GZ131" s="309"/>
      <c r="HA131" s="309"/>
      <c r="HB131" s="309"/>
      <c r="HC131" s="309"/>
      <c r="HD131" s="309"/>
      <c r="HE131" s="309"/>
      <c r="HF131" s="309"/>
      <c r="HG131" s="309"/>
      <c r="HH131" s="309"/>
      <c r="HI131" s="309"/>
      <c r="HJ131" s="309"/>
      <c r="HK131" s="309"/>
      <c r="HL131" s="309"/>
      <c r="HM131" s="309"/>
      <c r="HN131" s="309"/>
      <c r="HO131" s="309"/>
      <c r="HP131" s="309"/>
      <c r="HQ131" s="309"/>
      <c r="HR131" s="309"/>
      <c r="HS131" s="309"/>
      <c r="HT131" s="309"/>
      <c r="HU131" s="309"/>
      <c r="HV131" s="309"/>
      <c r="HW131" s="309"/>
      <c r="HX131" s="309"/>
      <c r="HY131" s="309"/>
      <c r="HZ131" s="309"/>
      <c r="IA131" s="309"/>
      <c r="IB131" s="309"/>
      <c r="IC131" s="309"/>
      <c r="ID131" s="309"/>
      <c r="IE131" s="309"/>
    </row>
    <row r="132" spans="1:239" ht="25.5">
      <c r="A132" s="310">
        <v>124</v>
      </c>
      <c r="B132" s="360">
        <v>42984</v>
      </c>
      <c r="C132" s="307" t="s">
        <v>517</v>
      </c>
      <c r="D132" s="310" t="s">
        <v>632</v>
      </c>
      <c r="E132" s="310">
        <v>0.4</v>
      </c>
      <c r="F132" s="355" t="s">
        <v>711</v>
      </c>
      <c r="G132" s="310" t="s">
        <v>522</v>
      </c>
      <c r="H132" s="310">
        <v>2.92</v>
      </c>
      <c r="I132" s="310">
        <v>1</v>
      </c>
      <c r="J132" s="310">
        <v>22</v>
      </c>
      <c r="K132" s="310">
        <v>1</v>
      </c>
      <c r="L132" s="348"/>
      <c r="M132" s="346">
        <f t="shared" si="6"/>
        <v>2.92</v>
      </c>
      <c r="N132" s="346">
        <f t="shared" si="7"/>
        <v>64.24</v>
      </c>
      <c r="O132" s="348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  <c r="BX132" s="309"/>
      <c r="BY132" s="309"/>
      <c r="BZ132" s="309"/>
      <c r="CA132" s="309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309"/>
      <c r="CL132" s="309"/>
      <c r="CM132" s="309"/>
      <c r="CN132" s="309"/>
      <c r="CO132" s="309"/>
      <c r="CP132" s="309"/>
      <c r="CQ132" s="309"/>
      <c r="CR132" s="309"/>
      <c r="CS132" s="309"/>
      <c r="CT132" s="309"/>
      <c r="CU132" s="309"/>
      <c r="CV132" s="309"/>
      <c r="CW132" s="309"/>
      <c r="CX132" s="309"/>
      <c r="CY132" s="309"/>
      <c r="CZ132" s="309"/>
      <c r="DA132" s="309"/>
      <c r="DB132" s="309"/>
      <c r="DC132" s="309"/>
      <c r="DD132" s="309"/>
      <c r="DE132" s="309"/>
      <c r="DF132" s="309"/>
      <c r="DG132" s="309"/>
      <c r="DH132" s="309"/>
      <c r="DI132" s="309"/>
      <c r="DJ132" s="309"/>
      <c r="DK132" s="309"/>
      <c r="DL132" s="309"/>
      <c r="DM132" s="309"/>
      <c r="DN132" s="309"/>
      <c r="DO132" s="309"/>
      <c r="DP132" s="309"/>
      <c r="DQ132" s="309"/>
      <c r="DR132" s="309"/>
      <c r="DS132" s="309"/>
      <c r="DT132" s="309"/>
      <c r="DU132" s="309"/>
      <c r="DV132" s="309"/>
      <c r="DW132" s="309"/>
      <c r="DX132" s="309"/>
      <c r="DY132" s="309"/>
      <c r="DZ132" s="309"/>
      <c r="EA132" s="309"/>
      <c r="EB132" s="309"/>
      <c r="EC132" s="309"/>
      <c r="ED132" s="309"/>
      <c r="EE132" s="309"/>
      <c r="EF132" s="309"/>
      <c r="EG132" s="309"/>
      <c r="EH132" s="309"/>
      <c r="EI132" s="309"/>
      <c r="EJ132" s="309"/>
      <c r="EK132" s="309"/>
      <c r="EL132" s="309"/>
      <c r="EM132" s="309"/>
      <c r="EN132" s="309"/>
      <c r="EO132" s="309"/>
      <c r="EP132" s="309"/>
      <c r="EQ132" s="309"/>
      <c r="ER132" s="309"/>
      <c r="ES132" s="309"/>
      <c r="ET132" s="309"/>
      <c r="EU132" s="309"/>
      <c r="EV132" s="309"/>
      <c r="EW132" s="309"/>
      <c r="EX132" s="309"/>
      <c r="EY132" s="309"/>
      <c r="EZ132" s="309"/>
      <c r="FA132" s="309"/>
      <c r="FB132" s="309"/>
      <c r="FC132" s="309"/>
      <c r="FD132" s="309"/>
      <c r="FE132" s="309"/>
      <c r="FF132" s="309"/>
      <c r="FG132" s="309"/>
      <c r="FH132" s="309"/>
      <c r="FI132" s="309"/>
      <c r="FJ132" s="309"/>
      <c r="FK132" s="309"/>
      <c r="FL132" s="309"/>
      <c r="FM132" s="309"/>
      <c r="FN132" s="309"/>
      <c r="FO132" s="309"/>
      <c r="FP132" s="309"/>
      <c r="FQ132" s="309"/>
      <c r="FR132" s="309"/>
      <c r="FS132" s="309"/>
      <c r="FT132" s="309"/>
      <c r="FU132" s="309"/>
      <c r="FV132" s="309"/>
      <c r="FW132" s="309"/>
      <c r="FX132" s="309"/>
      <c r="FY132" s="309"/>
      <c r="FZ132" s="309"/>
      <c r="GA132" s="309"/>
      <c r="GB132" s="309"/>
      <c r="GC132" s="309"/>
      <c r="GD132" s="309"/>
      <c r="GE132" s="309"/>
      <c r="GF132" s="309"/>
      <c r="GG132" s="309"/>
      <c r="GH132" s="309"/>
      <c r="GI132" s="309"/>
      <c r="GJ132" s="309"/>
      <c r="GK132" s="309"/>
      <c r="GL132" s="309"/>
      <c r="GM132" s="309"/>
      <c r="GN132" s="309"/>
      <c r="GO132" s="309"/>
      <c r="GP132" s="309"/>
      <c r="GQ132" s="309"/>
      <c r="GR132" s="309"/>
      <c r="GS132" s="309"/>
      <c r="GT132" s="309"/>
      <c r="GU132" s="309"/>
      <c r="GV132" s="309"/>
      <c r="GW132" s="309"/>
      <c r="GX132" s="309"/>
      <c r="GY132" s="309"/>
      <c r="GZ132" s="309"/>
      <c r="HA132" s="309"/>
      <c r="HB132" s="309"/>
      <c r="HC132" s="309"/>
      <c r="HD132" s="309"/>
      <c r="HE132" s="309"/>
      <c r="HF132" s="309"/>
      <c r="HG132" s="309"/>
      <c r="HH132" s="309"/>
      <c r="HI132" s="309"/>
      <c r="HJ132" s="309"/>
      <c r="HK132" s="309"/>
      <c r="HL132" s="309"/>
      <c r="HM132" s="309"/>
      <c r="HN132" s="309"/>
      <c r="HO132" s="309"/>
      <c r="HP132" s="309"/>
      <c r="HQ132" s="309"/>
      <c r="HR132" s="309"/>
      <c r="HS132" s="309"/>
      <c r="HT132" s="309"/>
      <c r="HU132" s="309"/>
      <c r="HV132" s="309"/>
      <c r="HW132" s="309"/>
      <c r="HX132" s="309"/>
      <c r="HY132" s="309"/>
      <c r="HZ132" s="309"/>
      <c r="IA132" s="309"/>
      <c r="IB132" s="309"/>
      <c r="IC132" s="309"/>
      <c r="ID132" s="309"/>
      <c r="IE132" s="309"/>
    </row>
    <row r="133" spans="1:239" ht="25.5">
      <c r="A133" s="310">
        <v>125</v>
      </c>
      <c r="B133" s="360">
        <v>42985</v>
      </c>
      <c r="C133" s="307" t="s">
        <v>517</v>
      </c>
      <c r="D133" s="310" t="s">
        <v>633</v>
      </c>
      <c r="E133" s="310">
        <v>0.4</v>
      </c>
      <c r="F133" s="355" t="s">
        <v>711</v>
      </c>
      <c r="G133" s="310" t="s">
        <v>522</v>
      </c>
      <c r="H133" s="310">
        <v>2.92</v>
      </c>
      <c r="I133" s="310">
        <v>1</v>
      </c>
      <c r="J133" s="310">
        <v>10</v>
      </c>
      <c r="K133" s="310">
        <v>1</v>
      </c>
      <c r="L133" s="348"/>
      <c r="M133" s="346">
        <f t="shared" si="6"/>
        <v>2.92</v>
      </c>
      <c r="N133" s="346">
        <f t="shared" si="7"/>
        <v>29.2</v>
      </c>
      <c r="O133" s="348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  <c r="BX133" s="309"/>
      <c r="BY133" s="309"/>
      <c r="BZ133" s="309"/>
      <c r="CA133" s="309"/>
      <c r="CB133" s="309"/>
      <c r="CC133" s="309"/>
      <c r="CD133" s="309"/>
      <c r="CE133" s="309"/>
      <c r="CF133" s="309"/>
      <c r="CG133" s="309"/>
      <c r="CH133" s="309"/>
      <c r="CI133" s="309"/>
      <c r="CJ133" s="309"/>
      <c r="CK133" s="309"/>
      <c r="CL133" s="309"/>
      <c r="CM133" s="309"/>
      <c r="CN133" s="309"/>
      <c r="CO133" s="309"/>
      <c r="CP133" s="309"/>
      <c r="CQ133" s="309"/>
      <c r="CR133" s="309"/>
      <c r="CS133" s="309"/>
      <c r="CT133" s="309"/>
      <c r="CU133" s="309"/>
      <c r="CV133" s="309"/>
      <c r="CW133" s="309"/>
      <c r="CX133" s="309"/>
      <c r="CY133" s="309"/>
      <c r="CZ133" s="309"/>
      <c r="DA133" s="309"/>
      <c r="DB133" s="309"/>
      <c r="DC133" s="309"/>
      <c r="DD133" s="309"/>
      <c r="DE133" s="309"/>
      <c r="DF133" s="309"/>
      <c r="DG133" s="309"/>
      <c r="DH133" s="309"/>
      <c r="DI133" s="309"/>
      <c r="DJ133" s="309"/>
      <c r="DK133" s="309"/>
      <c r="DL133" s="309"/>
      <c r="DM133" s="309"/>
      <c r="DN133" s="309"/>
      <c r="DO133" s="309"/>
      <c r="DP133" s="309"/>
      <c r="DQ133" s="309"/>
      <c r="DR133" s="309"/>
      <c r="DS133" s="309"/>
      <c r="DT133" s="309"/>
      <c r="DU133" s="309"/>
      <c r="DV133" s="309"/>
      <c r="DW133" s="309"/>
      <c r="DX133" s="309"/>
      <c r="DY133" s="309"/>
      <c r="DZ133" s="309"/>
      <c r="EA133" s="309"/>
      <c r="EB133" s="309"/>
      <c r="EC133" s="309"/>
      <c r="ED133" s="309"/>
      <c r="EE133" s="309"/>
      <c r="EF133" s="309"/>
      <c r="EG133" s="309"/>
      <c r="EH133" s="309"/>
      <c r="EI133" s="309"/>
      <c r="EJ133" s="309"/>
      <c r="EK133" s="309"/>
      <c r="EL133" s="309"/>
      <c r="EM133" s="309"/>
      <c r="EN133" s="309"/>
      <c r="EO133" s="309"/>
      <c r="EP133" s="309"/>
      <c r="EQ133" s="309"/>
      <c r="ER133" s="309"/>
      <c r="ES133" s="309"/>
      <c r="ET133" s="309"/>
      <c r="EU133" s="309"/>
      <c r="EV133" s="309"/>
      <c r="EW133" s="309"/>
      <c r="EX133" s="309"/>
      <c r="EY133" s="309"/>
      <c r="EZ133" s="309"/>
      <c r="FA133" s="309"/>
      <c r="FB133" s="309"/>
      <c r="FC133" s="309"/>
      <c r="FD133" s="309"/>
      <c r="FE133" s="309"/>
      <c r="FF133" s="309"/>
      <c r="FG133" s="309"/>
      <c r="FH133" s="309"/>
      <c r="FI133" s="309"/>
      <c r="FJ133" s="309"/>
      <c r="FK133" s="309"/>
      <c r="FL133" s="309"/>
      <c r="FM133" s="309"/>
      <c r="FN133" s="309"/>
      <c r="FO133" s="309"/>
      <c r="FP133" s="309"/>
      <c r="FQ133" s="309"/>
      <c r="FR133" s="309"/>
      <c r="FS133" s="309"/>
      <c r="FT133" s="309"/>
      <c r="FU133" s="309"/>
      <c r="FV133" s="309"/>
      <c r="FW133" s="309"/>
      <c r="FX133" s="309"/>
      <c r="FY133" s="309"/>
      <c r="FZ133" s="309"/>
      <c r="GA133" s="309"/>
      <c r="GB133" s="309"/>
      <c r="GC133" s="309"/>
      <c r="GD133" s="309"/>
      <c r="GE133" s="309"/>
      <c r="GF133" s="309"/>
      <c r="GG133" s="309"/>
      <c r="GH133" s="309"/>
      <c r="GI133" s="309"/>
      <c r="GJ133" s="309"/>
      <c r="GK133" s="309"/>
      <c r="GL133" s="309"/>
      <c r="GM133" s="309"/>
      <c r="GN133" s="309"/>
      <c r="GO133" s="309"/>
      <c r="GP133" s="309"/>
      <c r="GQ133" s="309"/>
      <c r="GR133" s="309"/>
      <c r="GS133" s="309"/>
      <c r="GT133" s="309"/>
      <c r="GU133" s="309"/>
      <c r="GV133" s="309"/>
      <c r="GW133" s="309"/>
      <c r="GX133" s="309"/>
      <c r="GY133" s="309"/>
      <c r="GZ133" s="309"/>
      <c r="HA133" s="309"/>
      <c r="HB133" s="309"/>
      <c r="HC133" s="309"/>
      <c r="HD133" s="309"/>
      <c r="HE133" s="309"/>
      <c r="HF133" s="309"/>
      <c r="HG133" s="309"/>
      <c r="HH133" s="309"/>
      <c r="HI133" s="309"/>
      <c r="HJ133" s="309"/>
      <c r="HK133" s="309"/>
      <c r="HL133" s="309"/>
      <c r="HM133" s="309"/>
      <c r="HN133" s="309"/>
      <c r="HO133" s="309"/>
      <c r="HP133" s="309"/>
      <c r="HQ133" s="309"/>
      <c r="HR133" s="309"/>
      <c r="HS133" s="309"/>
      <c r="HT133" s="309"/>
      <c r="HU133" s="309"/>
      <c r="HV133" s="309"/>
      <c r="HW133" s="309"/>
      <c r="HX133" s="309"/>
      <c r="HY133" s="309"/>
      <c r="HZ133" s="309"/>
      <c r="IA133" s="309"/>
      <c r="IB133" s="309"/>
      <c r="IC133" s="309"/>
      <c r="ID133" s="309"/>
      <c r="IE133" s="309"/>
    </row>
    <row r="134" spans="1:239" ht="25.5">
      <c r="A134" s="310">
        <v>126</v>
      </c>
      <c r="B134" s="360">
        <v>42986</v>
      </c>
      <c r="C134" s="307" t="s">
        <v>517</v>
      </c>
      <c r="D134" s="310" t="s">
        <v>634</v>
      </c>
      <c r="E134" s="310">
        <v>0.4</v>
      </c>
      <c r="F134" s="355" t="s">
        <v>711</v>
      </c>
      <c r="G134" s="310" t="s">
        <v>522</v>
      </c>
      <c r="H134" s="310">
        <v>4.5</v>
      </c>
      <c r="I134" s="310">
        <v>1</v>
      </c>
      <c r="J134" s="310">
        <v>10</v>
      </c>
      <c r="K134" s="310">
        <v>1</v>
      </c>
      <c r="L134" s="348"/>
      <c r="M134" s="346">
        <f t="shared" si="6"/>
        <v>4.5</v>
      </c>
      <c r="N134" s="346">
        <f t="shared" si="7"/>
        <v>45</v>
      </c>
      <c r="O134" s="348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  <c r="BT134" s="309"/>
      <c r="BU134" s="309"/>
      <c r="BV134" s="309"/>
      <c r="BW134" s="309"/>
      <c r="BX134" s="309"/>
      <c r="BY134" s="309"/>
      <c r="BZ134" s="309"/>
      <c r="CA134" s="309"/>
      <c r="CB134" s="309"/>
      <c r="CC134" s="309"/>
      <c r="CD134" s="309"/>
      <c r="CE134" s="309"/>
      <c r="CF134" s="309"/>
      <c r="CG134" s="309"/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  <c r="CR134" s="309"/>
      <c r="CS134" s="309"/>
      <c r="CT134" s="309"/>
      <c r="CU134" s="309"/>
      <c r="CV134" s="309"/>
      <c r="CW134" s="309"/>
      <c r="CX134" s="309"/>
      <c r="CY134" s="309"/>
      <c r="CZ134" s="309"/>
      <c r="DA134" s="309"/>
      <c r="DB134" s="309"/>
      <c r="DC134" s="309"/>
      <c r="DD134" s="309"/>
      <c r="DE134" s="309"/>
      <c r="DF134" s="309"/>
      <c r="DG134" s="309"/>
      <c r="DH134" s="309"/>
      <c r="DI134" s="309"/>
      <c r="DJ134" s="309"/>
      <c r="DK134" s="309"/>
      <c r="DL134" s="309"/>
      <c r="DM134" s="309"/>
      <c r="DN134" s="309"/>
      <c r="DO134" s="309"/>
      <c r="DP134" s="309"/>
      <c r="DQ134" s="309"/>
      <c r="DR134" s="309"/>
      <c r="DS134" s="309"/>
      <c r="DT134" s="309"/>
      <c r="DU134" s="309"/>
      <c r="DV134" s="309"/>
      <c r="DW134" s="309"/>
      <c r="DX134" s="309"/>
      <c r="DY134" s="309"/>
      <c r="DZ134" s="309"/>
      <c r="EA134" s="309"/>
      <c r="EB134" s="309"/>
      <c r="EC134" s="309"/>
      <c r="ED134" s="309"/>
      <c r="EE134" s="309"/>
      <c r="EF134" s="309"/>
      <c r="EG134" s="309"/>
      <c r="EH134" s="309"/>
      <c r="EI134" s="309"/>
      <c r="EJ134" s="309"/>
      <c r="EK134" s="309"/>
      <c r="EL134" s="309"/>
      <c r="EM134" s="309"/>
      <c r="EN134" s="309"/>
      <c r="EO134" s="309"/>
      <c r="EP134" s="309"/>
      <c r="EQ134" s="309"/>
      <c r="ER134" s="309"/>
      <c r="ES134" s="309"/>
      <c r="ET134" s="309"/>
      <c r="EU134" s="309"/>
      <c r="EV134" s="309"/>
      <c r="EW134" s="309"/>
      <c r="EX134" s="309"/>
      <c r="EY134" s="309"/>
      <c r="EZ134" s="309"/>
      <c r="FA134" s="309"/>
      <c r="FB134" s="309"/>
      <c r="FC134" s="309"/>
      <c r="FD134" s="309"/>
      <c r="FE134" s="309"/>
      <c r="FF134" s="309"/>
      <c r="FG134" s="309"/>
      <c r="FH134" s="309"/>
      <c r="FI134" s="309"/>
      <c r="FJ134" s="309"/>
      <c r="FK134" s="309"/>
      <c r="FL134" s="309"/>
      <c r="FM134" s="309"/>
      <c r="FN134" s="309"/>
      <c r="FO134" s="309"/>
      <c r="FP134" s="309"/>
      <c r="FQ134" s="309"/>
      <c r="FR134" s="309"/>
      <c r="FS134" s="309"/>
      <c r="FT134" s="309"/>
      <c r="FU134" s="309"/>
      <c r="FV134" s="309"/>
      <c r="FW134" s="309"/>
      <c r="FX134" s="309"/>
      <c r="FY134" s="309"/>
      <c r="FZ134" s="309"/>
      <c r="GA134" s="309"/>
      <c r="GB134" s="309"/>
      <c r="GC134" s="309"/>
      <c r="GD134" s="309"/>
      <c r="GE134" s="309"/>
      <c r="GF134" s="309"/>
      <c r="GG134" s="309"/>
      <c r="GH134" s="309"/>
      <c r="GI134" s="309"/>
      <c r="GJ134" s="309"/>
      <c r="GK134" s="309"/>
      <c r="GL134" s="309"/>
      <c r="GM134" s="309"/>
      <c r="GN134" s="309"/>
      <c r="GO134" s="309"/>
      <c r="GP134" s="309"/>
      <c r="GQ134" s="309"/>
      <c r="GR134" s="309"/>
      <c r="GS134" s="309"/>
      <c r="GT134" s="309"/>
      <c r="GU134" s="309"/>
      <c r="GV134" s="309"/>
      <c r="GW134" s="309"/>
      <c r="GX134" s="309"/>
      <c r="GY134" s="309"/>
      <c r="GZ134" s="309"/>
      <c r="HA134" s="309"/>
      <c r="HB134" s="309"/>
      <c r="HC134" s="309"/>
      <c r="HD134" s="309"/>
      <c r="HE134" s="309"/>
      <c r="HF134" s="309"/>
      <c r="HG134" s="309"/>
      <c r="HH134" s="309"/>
      <c r="HI134" s="309"/>
      <c r="HJ134" s="309"/>
      <c r="HK134" s="309"/>
      <c r="HL134" s="309"/>
      <c r="HM134" s="309"/>
      <c r="HN134" s="309"/>
      <c r="HO134" s="309"/>
      <c r="HP134" s="309"/>
      <c r="HQ134" s="309"/>
      <c r="HR134" s="309"/>
      <c r="HS134" s="309"/>
      <c r="HT134" s="309"/>
      <c r="HU134" s="309"/>
      <c r="HV134" s="309"/>
      <c r="HW134" s="309"/>
      <c r="HX134" s="309"/>
      <c r="HY134" s="309"/>
      <c r="HZ134" s="309"/>
      <c r="IA134" s="309"/>
      <c r="IB134" s="309"/>
      <c r="IC134" s="309"/>
      <c r="ID134" s="309"/>
      <c r="IE134" s="309"/>
    </row>
    <row r="135" spans="1:239" ht="25.5">
      <c r="A135" s="310">
        <v>127</v>
      </c>
      <c r="B135" s="360">
        <v>42989</v>
      </c>
      <c r="C135" s="307" t="s">
        <v>517</v>
      </c>
      <c r="D135" s="310" t="s">
        <v>635</v>
      </c>
      <c r="E135" s="310">
        <v>0.4</v>
      </c>
      <c r="F135" s="355" t="s">
        <v>711</v>
      </c>
      <c r="G135" s="310" t="s">
        <v>522</v>
      </c>
      <c r="H135" s="310">
        <v>2.33</v>
      </c>
      <c r="I135" s="310">
        <v>1</v>
      </c>
      <c r="J135" s="310">
        <v>28</v>
      </c>
      <c r="K135" s="310">
        <v>1</v>
      </c>
      <c r="L135" s="348"/>
      <c r="M135" s="346">
        <f t="shared" si="6"/>
        <v>2.33</v>
      </c>
      <c r="N135" s="346">
        <f t="shared" si="7"/>
        <v>65.24000000000001</v>
      </c>
      <c r="O135" s="348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  <c r="BX135" s="309"/>
      <c r="BY135" s="309"/>
      <c r="BZ135" s="309"/>
      <c r="CA135" s="309"/>
      <c r="CB135" s="309"/>
      <c r="CC135" s="309"/>
      <c r="CD135" s="309"/>
      <c r="CE135" s="309"/>
      <c r="CF135" s="309"/>
      <c r="CG135" s="309"/>
      <c r="CH135" s="309"/>
      <c r="CI135" s="309"/>
      <c r="CJ135" s="309"/>
      <c r="CK135" s="309"/>
      <c r="CL135" s="309"/>
      <c r="CM135" s="309"/>
      <c r="CN135" s="309"/>
      <c r="CO135" s="309"/>
      <c r="CP135" s="309"/>
      <c r="CQ135" s="309"/>
      <c r="CR135" s="309"/>
      <c r="CS135" s="309"/>
      <c r="CT135" s="309"/>
      <c r="CU135" s="309"/>
      <c r="CV135" s="309"/>
      <c r="CW135" s="309"/>
      <c r="CX135" s="309"/>
      <c r="CY135" s="309"/>
      <c r="CZ135" s="309"/>
      <c r="DA135" s="309"/>
      <c r="DB135" s="309"/>
      <c r="DC135" s="309"/>
      <c r="DD135" s="309"/>
      <c r="DE135" s="309"/>
      <c r="DF135" s="309"/>
      <c r="DG135" s="309"/>
      <c r="DH135" s="309"/>
      <c r="DI135" s="309"/>
      <c r="DJ135" s="309"/>
      <c r="DK135" s="309"/>
      <c r="DL135" s="309"/>
      <c r="DM135" s="309"/>
      <c r="DN135" s="309"/>
      <c r="DO135" s="309"/>
      <c r="DP135" s="309"/>
      <c r="DQ135" s="309"/>
      <c r="DR135" s="309"/>
      <c r="DS135" s="309"/>
      <c r="DT135" s="309"/>
      <c r="DU135" s="309"/>
      <c r="DV135" s="309"/>
      <c r="DW135" s="309"/>
      <c r="DX135" s="309"/>
      <c r="DY135" s="309"/>
      <c r="DZ135" s="309"/>
      <c r="EA135" s="309"/>
      <c r="EB135" s="309"/>
      <c r="EC135" s="309"/>
      <c r="ED135" s="309"/>
      <c r="EE135" s="309"/>
      <c r="EF135" s="309"/>
      <c r="EG135" s="309"/>
      <c r="EH135" s="309"/>
      <c r="EI135" s="309"/>
      <c r="EJ135" s="309"/>
      <c r="EK135" s="309"/>
      <c r="EL135" s="309"/>
      <c r="EM135" s="309"/>
      <c r="EN135" s="309"/>
      <c r="EO135" s="309"/>
      <c r="EP135" s="309"/>
      <c r="EQ135" s="309"/>
      <c r="ER135" s="309"/>
      <c r="ES135" s="309"/>
      <c r="ET135" s="309"/>
      <c r="EU135" s="309"/>
      <c r="EV135" s="309"/>
      <c r="EW135" s="309"/>
      <c r="EX135" s="309"/>
      <c r="EY135" s="309"/>
      <c r="EZ135" s="309"/>
      <c r="FA135" s="309"/>
      <c r="FB135" s="309"/>
      <c r="FC135" s="309"/>
      <c r="FD135" s="309"/>
      <c r="FE135" s="309"/>
      <c r="FF135" s="309"/>
      <c r="FG135" s="309"/>
      <c r="FH135" s="309"/>
      <c r="FI135" s="309"/>
      <c r="FJ135" s="309"/>
      <c r="FK135" s="309"/>
      <c r="FL135" s="309"/>
      <c r="FM135" s="309"/>
      <c r="FN135" s="309"/>
      <c r="FO135" s="309"/>
      <c r="FP135" s="309"/>
      <c r="FQ135" s="309"/>
      <c r="FR135" s="309"/>
      <c r="FS135" s="309"/>
      <c r="FT135" s="309"/>
      <c r="FU135" s="309"/>
      <c r="FV135" s="309"/>
      <c r="FW135" s="309"/>
      <c r="FX135" s="309"/>
      <c r="FY135" s="309"/>
      <c r="FZ135" s="309"/>
      <c r="GA135" s="309"/>
      <c r="GB135" s="309"/>
      <c r="GC135" s="309"/>
      <c r="GD135" s="309"/>
      <c r="GE135" s="309"/>
      <c r="GF135" s="309"/>
      <c r="GG135" s="309"/>
      <c r="GH135" s="309"/>
      <c r="GI135" s="309"/>
      <c r="GJ135" s="309"/>
      <c r="GK135" s="309"/>
      <c r="GL135" s="309"/>
      <c r="GM135" s="309"/>
      <c r="GN135" s="309"/>
      <c r="GO135" s="309"/>
      <c r="GP135" s="309"/>
      <c r="GQ135" s="309"/>
      <c r="GR135" s="309"/>
      <c r="GS135" s="309"/>
      <c r="GT135" s="309"/>
      <c r="GU135" s="309"/>
      <c r="GV135" s="309"/>
      <c r="GW135" s="309"/>
      <c r="GX135" s="309"/>
      <c r="GY135" s="309"/>
      <c r="GZ135" s="309"/>
      <c r="HA135" s="309"/>
      <c r="HB135" s="309"/>
      <c r="HC135" s="309"/>
      <c r="HD135" s="309"/>
      <c r="HE135" s="309"/>
      <c r="HF135" s="309"/>
      <c r="HG135" s="309"/>
      <c r="HH135" s="309"/>
      <c r="HI135" s="309"/>
      <c r="HJ135" s="309"/>
      <c r="HK135" s="309"/>
      <c r="HL135" s="309"/>
      <c r="HM135" s="309"/>
      <c r="HN135" s="309"/>
      <c r="HO135" s="309"/>
      <c r="HP135" s="309"/>
      <c r="HQ135" s="309"/>
      <c r="HR135" s="309"/>
      <c r="HS135" s="309"/>
      <c r="HT135" s="309"/>
      <c r="HU135" s="309"/>
      <c r="HV135" s="309"/>
      <c r="HW135" s="309"/>
      <c r="HX135" s="309"/>
      <c r="HY135" s="309"/>
      <c r="HZ135" s="309"/>
      <c r="IA135" s="309"/>
      <c r="IB135" s="309"/>
      <c r="IC135" s="309"/>
      <c r="ID135" s="309"/>
      <c r="IE135" s="309"/>
    </row>
    <row r="136" spans="1:239" ht="25.5">
      <c r="A136" s="310">
        <v>128</v>
      </c>
      <c r="B136" s="360">
        <v>42990</v>
      </c>
      <c r="C136" s="307" t="s">
        <v>517</v>
      </c>
      <c r="D136" s="310" t="s">
        <v>636</v>
      </c>
      <c r="E136" s="310">
        <v>0.4</v>
      </c>
      <c r="F136" s="355" t="s">
        <v>711</v>
      </c>
      <c r="G136" s="310" t="s">
        <v>522</v>
      </c>
      <c r="H136" s="310">
        <v>2.75</v>
      </c>
      <c r="I136" s="310">
        <v>1</v>
      </c>
      <c r="J136" s="310">
        <v>20</v>
      </c>
      <c r="K136" s="310">
        <v>1</v>
      </c>
      <c r="L136" s="348"/>
      <c r="M136" s="346">
        <f t="shared" si="6"/>
        <v>2.75</v>
      </c>
      <c r="N136" s="346">
        <f t="shared" si="7"/>
        <v>55</v>
      </c>
      <c r="O136" s="348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  <c r="BX136" s="309"/>
      <c r="BY136" s="309"/>
      <c r="BZ136" s="309"/>
      <c r="CA136" s="309"/>
      <c r="CB136" s="309"/>
      <c r="CC136" s="309"/>
      <c r="CD136" s="309"/>
      <c r="CE136" s="309"/>
      <c r="CF136" s="309"/>
      <c r="CG136" s="309"/>
      <c r="CH136" s="309"/>
      <c r="CI136" s="309"/>
      <c r="CJ136" s="309"/>
      <c r="CK136" s="309"/>
      <c r="CL136" s="309"/>
      <c r="CM136" s="309"/>
      <c r="CN136" s="309"/>
      <c r="CO136" s="309"/>
      <c r="CP136" s="309"/>
      <c r="CQ136" s="309"/>
      <c r="CR136" s="309"/>
      <c r="CS136" s="309"/>
      <c r="CT136" s="309"/>
      <c r="CU136" s="309"/>
      <c r="CV136" s="309"/>
      <c r="CW136" s="309"/>
      <c r="CX136" s="309"/>
      <c r="CY136" s="309"/>
      <c r="CZ136" s="309"/>
      <c r="DA136" s="309"/>
      <c r="DB136" s="309"/>
      <c r="DC136" s="309"/>
      <c r="DD136" s="309"/>
      <c r="DE136" s="309"/>
      <c r="DF136" s="309"/>
      <c r="DG136" s="309"/>
      <c r="DH136" s="309"/>
      <c r="DI136" s="309"/>
      <c r="DJ136" s="309"/>
      <c r="DK136" s="309"/>
      <c r="DL136" s="309"/>
      <c r="DM136" s="309"/>
      <c r="DN136" s="309"/>
      <c r="DO136" s="309"/>
      <c r="DP136" s="309"/>
      <c r="DQ136" s="309"/>
      <c r="DR136" s="309"/>
      <c r="DS136" s="309"/>
      <c r="DT136" s="309"/>
      <c r="DU136" s="309"/>
      <c r="DV136" s="309"/>
      <c r="DW136" s="309"/>
      <c r="DX136" s="309"/>
      <c r="DY136" s="309"/>
      <c r="DZ136" s="309"/>
      <c r="EA136" s="309"/>
      <c r="EB136" s="309"/>
      <c r="EC136" s="309"/>
      <c r="ED136" s="309"/>
      <c r="EE136" s="309"/>
      <c r="EF136" s="309"/>
      <c r="EG136" s="309"/>
      <c r="EH136" s="309"/>
      <c r="EI136" s="309"/>
      <c r="EJ136" s="309"/>
      <c r="EK136" s="309"/>
      <c r="EL136" s="309"/>
      <c r="EM136" s="309"/>
      <c r="EN136" s="309"/>
      <c r="EO136" s="309"/>
      <c r="EP136" s="309"/>
      <c r="EQ136" s="309"/>
      <c r="ER136" s="309"/>
      <c r="ES136" s="309"/>
      <c r="ET136" s="309"/>
      <c r="EU136" s="309"/>
      <c r="EV136" s="309"/>
      <c r="EW136" s="309"/>
      <c r="EX136" s="309"/>
      <c r="EY136" s="309"/>
      <c r="EZ136" s="309"/>
      <c r="FA136" s="309"/>
      <c r="FB136" s="309"/>
      <c r="FC136" s="309"/>
      <c r="FD136" s="309"/>
      <c r="FE136" s="309"/>
      <c r="FF136" s="309"/>
      <c r="FG136" s="309"/>
      <c r="FH136" s="309"/>
      <c r="FI136" s="309"/>
      <c r="FJ136" s="309"/>
      <c r="FK136" s="309"/>
      <c r="FL136" s="309"/>
      <c r="FM136" s="309"/>
      <c r="FN136" s="309"/>
      <c r="FO136" s="309"/>
      <c r="FP136" s="309"/>
      <c r="FQ136" s="309"/>
      <c r="FR136" s="309"/>
      <c r="FS136" s="309"/>
      <c r="FT136" s="309"/>
      <c r="FU136" s="309"/>
      <c r="FV136" s="309"/>
      <c r="FW136" s="309"/>
      <c r="FX136" s="309"/>
      <c r="FY136" s="309"/>
      <c r="FZ136" s="309"/>
      <c r="GA136" s="309"/>
      <c r="GB136" s="309"/>
      <c r="GC136" s="309"/>
      <c r="GD136" s="309"/>
      <c r="GE136" s="309"/>
      <c r="GF136" s="309"/>
      <c r="GG136" s="309"/>
      <c r="GH136" s="309"/>
      <c r="GI136" s="309"/>
      <c r="GJ136" s="309"/>
      <c r="GK136" s="309"/>
      <c r="GL136" s="309"/>
      <c r="GM136" s="309"/>
      <c r="GN136" s="309"/>
      <c r="GO136" s="309"/>
      <c r="GP136" s="309"/>
      <c r="GQ136" s="309"/>
      <c r="GR136" s="309"/>
      <c r="GS136" s="309"/>
      <c r="GT136" s="309"/>
      <c r="GU136" s="309"/>
      <c r="GV136" s="309"/>
      <c r="GW136" s="309"/>
      <c r="GX136" s="309"/>
      <c r="GY136" s="309"/>
      <c r="GZ136" s="309"/>
      <c r="HA136" s="309"/>
      <c r="HB136" s="309"/>
      <c r="HC136" s="309"/>
      <c r="HD136" s="309"/>
      <c r="HE136" s="309"/>
      <c r="HF136" s="309"/>
      <c r="HG136" s="309"/>
      <c r="HH136" s="309"/>
      <c r="HI136" s="309"/>
      <c r="HJ136" s="309"/>
      <c r="HK136" s="309"/>
      <c r="HL136" s="309"/>
      <c r="HM136" s="309"/>
      <c r="HN136" s="309"/>
      <c r="HO136" s="309"/>
      <c r="HP136" s="309"/>
      <c r="HQ136" s="309"/>
      <c r="HR136" s="309"/>
      <c r="HS136" s="309"/>
      <c r="HT136" s="309"/>
      <c r="HU136" s="309"/>
      <c r="HV136" s="309"/>
      <c r="HW136" s="309"/>
      <c r="HX136" s="309"/>
      <c r="HY136" s="309"/>
      <c r="HZ136" s="309"/>
      <c r="IA136" s="309"/>
      <c r="IB136" s="309"/>
      <c r="IC136" s="309"/>
      <c r="ID136" s="309"/>
      <c r="IE136" s="309"/>
    </row>
    <row r="137" spans="1:239" ht="25.5">
      <c r="A137" s="310">
        <v>129</v>
      </c>
      <c r="B137" s="360">
        <v>42990</v>
      </c>
      <c r="C137" s="307" t="s">
        <v>517</v>
      </c>
      <c r="D137" s="310" t="s">
        <v>637</v>
      </c>
      <c r="E137" s="310">
        <v>0.4</v>
      </c>
      <c r="F137" s="355" t="s">
        <v>711</v>
      </c>
      <c r="G137" s="310" t="s">
        <v>522</v>
      </c>
      <c r="H137" s="310">
        <v>2.75</v>
      </c>
      <c r="I137" s="310">
        <v>1</v>
      </c>
      <c r="J137" s="310">
        <v>20</v>
      </c>
      <c r="K137" s="310">
        <v>1</v>
      </c>
      <c r="L137" s="348"/>
      <c r="M137" s="346">
        <f aca="true" t="shared" si="8" ref="M137:M168">H137*I137</f>
        <v>2.75</v>
      </c>
      <c r="N137" s="346">
        <f aca="true" t="shared" si="9" ref="N137:N168">H137*J137</f>
        <v>55</v>
      </c>
      <c r="O137" s="348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  <c r="CR137" s="309"/>
      <c r="CS137" s="309"/>
      <c r="CT137" s="309"/>
      <c r="CU137" s="309"/>
      <c r="CV137" s="309"/>
      <c r="CW137" s="309"/>
      <c r="CX137" s="309"/>
      <c r="CY137" s="309"/>
      <c r="CZ137" s="309"/>
      <c r="DA137" s="309"/>
      <c r="DB137" s="309"/>
      <c r="DC137" s="309"/>
      <c r="DD137" s="309"/>
      <c r="DE137" s="309"/>
      <c r="DF137" s="309"/>
      <c r="DG137" s="309"/>
      <c r="DH137" s="309"/>
      <c r="DI137" s="309"/>
      <c r="DJ137" s="309"/>
      <c r="DK137" s="309"/>
      <c r="DL137" s="309"/>
      <c r="DM137" s="309"/>
      <c r="DN137" s="309"/>
      <c r="DO137" s="309"/>
      <c r="DP137" s="309"/>
      <c r="DQ137" s="309"/>
      <c r="DR137" s="309"/>
      <c r="DS137" s="309"/>
      <c r="DT137" s="309"/>
      <c r="DU137" s="309"/>
      <c r="DV137" s="309"/>
      <c r="DW137" s="309"/>
      <c r="DX137" s="309"/>
      <c r="DY137" s="309"/>
      <c r="DZ137" s="309"/>
      <c r="EA137" s="309"/>
      <c r="EB137" s="309"/>
      <c r="EC137" s="309"/>
      <c r="ED137" s="309"/>
      <c r="EE137" s="309"/>
      <c r="EF137" s="309"/>
      <c r="EG137" s="309"/>
      <c r="EH137" s="309"/>
      <c r="EI137" s="309"/>
      <c r="EJ137" s="309"/>
      <c r="EK137" s="309"/>
      <c r="EL137" s="309"/>
      <c r="EM137" s="309"/>
      <c r="EN137" s="309"/>
      <c r="EO137" s="309"/>
      <c r="EP137" s="309"/>
      <c r="EQ137" s="309"/>
      <c r="ER137" s="309"/>
      <c r="ES137" s="309"/>
      <c r="ET137" s="309"/>
      <c r="EU137" s="309"/>
      <c r="EV137" s="309"/>
      <c r="EW137" s="309"/>
      <c r="EX137" s="309"/>
      <c r="EY137" s="309"/>
      <c r="EZ137" s="309"/>
      <c r="FA137" s="309"/>
      <c r="FB137" s="309"/>
      <c r="FC137" s="309"/>
      <c r="FD137" s="309"/>
      <c r="FE137" s="309"/>
      <c r="FF137" s="309"/>
      <c r="FG137" s="309"/>
      <c r="FH137" s="309"/>
      <c r="FI137" s="309"/>
      <c r="FJ137" s="309"/>
      <c r="FK137" s="309"/>
      <c r="FL137" s="309"/>
      <c r="FM137" s="309"/>
      <c r="FN137" s="309"/>
      <c r="FO137" s="309"/>
      <c r="FP137" s="309"/>
      <c r="FQ137" s="309"/>
      <c r="FR137" s="309"/>
      <c r="FS137" s="309"/>
      <c r="FT137" s="309"/>
      <c r="FU137" s="309"/>
      <c r="FV137" s="309"/>
      <c r="FW137" s="309"/>
      <c r="FX137" s="309"/>
      <c r="FY137" s="309"/>
      <c r="FZ137" s="309"/>
      <c r="GA137" s="309"/>
      <c r="GB137" s="309"/>
      <c r="GC137" s="309"/>
      <c r="GD137" s="309"/>
      <c r="GE137" s="309"/>
      <c r="GF137" s="309"/>
      <c r="GG137" s="309"/>
      <c r="GH137" s="309"/>
      <c r="GI137" s="309"/>
      <c r="GJ137" s="309"/>
      <c r="GK137" s="309"/>
      <c r="GL137" s="309"/>
      <c r="GM137" s="309"/>
      <c r="GN137" s="309"/>
      <c r="GO137" s="309"/>
      <c r="GP137" s="309"/>
      <c r="GQ137" s="309"/>
      <c r="GR137" s="309"/>
      <c r="GS137" s="309"/>
      <c r="GT137" s="309"/>
      <c r="GU137" s="309"/>
      <c r="GV137" s="309"/>
      <c r="GW137" s="309"/>
      <c r="GX137" s="309"/>
      <c r="GY137" s="309"/>
      <c r="GZ137" s="309"/>
      <c r="HA137" s="309"/>
      <c r="HB137" s="309"/>
      <c r="HC137" s="309"/>
      <c r="HD137" s="309"/>
      <c r="HE137" s="309"/>
      <c r="HF137" s="309"/>
      <c r="HG137" s="309"/>
      <c r="HH137" s="309"/>
      <c r="HI137" s="309"/>
      <c r="HJ137" s="309"/>
      <c r="HK137" s="309"/>
      <c r="HL137" s="309"/>
      <c r="HM137" s="309"/>
      <c r="HN137" s="309"/>
      <c r="HO137" s="309"/>
      <c r="HP137" s="309"/>
      <c r="HQ137" s="309"/>
      <c r="HR137" s="309"/>
      <c r="HS137" s="309"/>
      <c r="HT137" s="309"/>
      <c r="HU137" s="309"/>
      <c r="HV137" s="309"/>
      <c r="HW137" s="309"/>
      <c r="HX137" s="309"/>
      <c r="HY137" s="309"/>
      <c r="HZ137" s="309"/>
      <c r="IA137" s="309"/>
      <c r="IB137" s="309"/>
      <c r="IC137" s="309"/>
      <c r="ID137" s="309"/>
      <c r="IE137" s="309"/>
    </row>
    <row r="138" spans="1:239" ht="25.5">
      <c r="A138" s="310">
        <v>130</v>
      </c>
      <c r="B138" s="360">
        <v>42990</v>
      </c>
      <c r="C138" s="307" t="s">
        <v>517</v>
      </c>
      <c r="D138" s="310" t="s">
        <v>638</v>
      </c>
      <c r="E138" s="310">
        <v>0.4</v>
      </c>
      <c r="F138" s="355" t="s">
        <v>711</v>
      </c>
      <c r="G138" s="310" t="s">
        <v>522</v>
      </c>
      <c r="H138" s="310">
        <v>2.75</v>
      </c>
      <c r="I138" s="310">
        <v>1</v>
      </c>
      <c r="J138" s="310">
        <v>20</v>
      </c>
      <c r="K138" s="310">
        <v>1</v>
      </c>
      <c r="L138" s="348"/>
      <c r="M138" s="346">
        <f t="shared" si="8"/>
        <v>2.75</v>
      </c>
      <c r="N138" s="346">
        <f t="shared" si="9"/>
        <v>55</v>
      </c>
      <c r="O138" s="348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  <c r="CR138" s="309"/>
      <c r="CS138" s="309"/>
      <c r="CT138" s="309"/>
      <c r="CU138" s="309"/>
      <c r="CV138" s="309"/>
      <c r="CW138" s="309"/>
      <c r="CX138" s="309"/>
      <c r="CY138" s="309"/>
      <c r="CZ138" s="309"/>
      <c r="DA138" s="309"/>
      <c r="DB138" s="309"/>
      <c r="DC138" s="309"/>
      <c r="DD138" s="309"/>
      <c r="DE138" s="309"/>
      <c r="DF138" s="309"/>
      <c r="DG138" s="309"/>
      <c r="DH138" s="309"/>
      <c r="DI138" s="309"/>
      <c r="DJ138" s="309"/>
      <c r="DK138" s="309"/>
      <c r="DL138" s="309"/>
      <c r="DM138" s="309"/>
      <c r="DN138" s="309"/>
      <c r="DO138" s="309"/>
      <c r="DP138" s="309"/>
      <c r="DQ138" s="309"/>
      <c r="DR138" s="309"/>
      <c r="DS138" s="309"/>
      <c r="DT138" s="309"/>
      <c r="DU138" s="309"/>
      <c r="DV138" s="309"/>
      <c r="DW138" s="309"/>
      <c r="DX138" s="309"/>
      <c r="DY138" s="309"/>
      <c r="DZ138" s="309"/>
      <c r="EA138" s="309"/>
      <c r="EB138" s="309"/>
      <c r="EC138" s="309"/>
      <c r="ED138" s="309"/>
      <c r="EE138" s="309"/>
      <c r="EF138" s="309"/>
      <c r="EG138" s="309"/>
      <c r="EH138" s="309"/>
      <c r="EI138" s="309"/>
      <c r="EJ138" s="309"/>
      <c r="EK138" s="309"/>
      <c r="EL138" s="309"/>
      <c r="EM138" s="309"/>
      <c r="EN138" s="309"/>
      <c r="EO138" s="309"/>
      <c r="EP138" s="309"/>
      <c r="EQ138" s="309"/>
      <c r="ER138" s="309"/>
      <c r="ES138" s="309"/>
      <c r="ET138" s="309"/>
      <c r="EU138" s="309"/>
      <c r="EV138" s="309"/>
      <c r="EW138" s="309"/>
      <c r="EX138" s="309"/>
      <c r="EY138" s="309"/>
      <c r="EZ138" s="309"/>
      <c r="FA138" s="309"/>
      <c r="FB138" s="309"/>
      <c r="FC138" s="309"/>
      <c r="FD138" s="309"/>
      <c r="FE138" s="309"/>
      <c r="FF138" s="309"/>
      <c r="FG138" s="309"/>
      <c r="FH138" s="309"/>
      <c r="FI138" s="309"/>
      <c r="FJ138" s="309"/>
      <c r="FK138" s="309"/>
      <c r="FL138" s="309"/>
      <c r="FM138" s="309"/>
      <c r="FN138" s="309"/>
      <c r="FO138" s="309"/>
      <c r="FP138" s="309"/>
      <c r="FQ138" s="309"/>
      <c r="FR138" s="309"/>
      <c r="FS138" s="309"/>
      <c r="FT138" s="309"/>
      <c r="FU138" s="309"/>
      <c r="FV138" s="309"/>
      <c r="FW138" s="309"/>
      <c r="FX138" s="309"/>
      <c r="FY138" s="309"/>
      <c r="FZ138" s="309"/>
      <c r="GA138" s="309"/>
      <c r="GB138" s="309"/>
      <c r="GC138" s="309"/>
      <c r="GD138" s="309"/>
      <c r="GE138" s="309"/>
      <c r="GF138" s="309"/>
      <c r="GG138" s="309"/>
      <c r="GH138" s="309"/>
      <c r="GI138" s="309"/>
      <c r="GJ138" s="309"/>
      <c r="GK138" s="309"/>
      <c r="GL138" s="309"/>
      <c r="GM138" s="309"/>
      <c r="GN138" s="309"/>
      <c r="GO138" s="309"/>
      <c r="GP138" s="309"/>
      <c r="GQ138" s="309"/>
      <c r="GR138" s="309"/>
      <c r="GS138" s="309"/>
      <c r="GT138" s="309"/>
      <c r="GU138" s="309"/>
      <c r="GV138" s="309"/>
      <c r="GW138" s="309"/>
      <c r="GX138" s="309"/>
      <c r="GY138" s="309"/>
      <c r="GZ138" s="309"/>
      <c r="HA138" s="309"/>
      <c r="HB138" s="309"/>
      <c r="HC138" s="309"/>
      <c r="HD138" s="309"/>
      <c r="HE138" s="309"/>
      <c r="HF138" s="309"/>
      <c r="HG138" s="309"/>
      <c r="HH138" s="309"/>
      <c r="HI138" s="309"/>
      <c r="HJ138" s="309"/>
      <c r="HK138" s="309"/>
      <c r="HL138" s="309"/>
      <c r="HM138" s="309"/>
      <c r="HN138" s="309"/>
      <c r="HO138" s="309"/>
      <c r="HP138" s="309"/>
      <c r="HQ138" s="309"/>
      <c r="HR138" s="309"/>
      <c r="HS138" s="309"/>
      <c r="HT138" s="309"/>
      <c r="HU138" s="309"/>
      <c r="HV138" s="309"/>
      <c r="HW138" s="309"/>
      <c r="HX138" s="309"/>
      <c r="HY138" s="309"/>
      <c r="HZ138" s="309"/>
      <c r="IA138" s="309"/>
      <c r="IB138" s="309"/>
      <c r="IC138" s="309"/>
      <c r="ID138" s="309"/>
      <c r="IE138" s="309"/>
    </row>
    <row r="139" spans="1:239" ht="25.5">
      <c r="A139" s="310">
        <v>131</v>
      </c>
      <c r="B139" s="360">
        <v>42991</v>
      </c>
      <c r="C139" s="307" t="s">
        <v>517</v>
      </c>
      <c r="D139" s="310" t="s">
        <v>639</v>
      </c>
      <c r="E139" s="310">
        <v>0.4</v>
      </c>
      <c r="F139" s="355" t="s">
        <v>711</v>
      </c>
      <c r="G139" s="310" t="s">
        <v>522</v>
      </c>
      <c r="H139" s="310">
        <v>2.83</v>
      </c>
      <c r="I139" s="310">
        <v>1</v>
      </c>
      <c r="J139" s="310">
        <v>20</v>
      </c>
      <c r="K139" s="310">
        <v>1</v>
      </c>
      <c r="L139" s="348"/>
      <c r="M139" s="346">
        <f t="shared" si="8"/>
        <v>2.83</v>
      </c>
      <c r="N139" s="346">
        <f t="shared" si="9"/>
        <v>56.6</v>
      </c>
      <c r="O139" s="348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  <c r="BT139" s="309"/>
      <c r="BU139" s="309"/>
      <c r="BV139" s="309"/>
      <c r="BW139" s="309"/>
      <c r="BX139" s="309"/>
      <c r="BY139" s="309"/>
      <c r="BZ139" s="309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  <c r="DB139" s="309"/>
      <c r="DC139" s="309"/>
      <c r="DD139" s="309"/>
      <c r="DE139" s="309"/>
      <c r="DF139" s="309"/>
      <c r="DG139" s="309"/>
      <c r="DH139" s="309"/>
      <c r="DI139" s="309"/>
      <c r="DJ139" s="309"/>
      <c r="DK139" s="309"/>
      <c r="DL139" s="309"/>
      <c r="DM139" s="309"/>
      <c r="DN139" s="309"/>
      <c r="DO139" s="309"/>
      <c r="DP139" s="309"/>
      <c r="DQ139" s="309"/>
      <c r="DR139" s="309"/>
      <c r="DS139" s="309"/>
      <c r="DT139" s="309"/>
      <c r="DU139" s="309"/>
      <c r="DV139" s="309"/>
      <c r="DW139" s="309"/>
      <c r="DX139" s="309"/>
      <c r="DY139" s="309"/>
      <c r="DZ139" s="309"/>
      <c r="EA139" s="309"/>
      <c r="EB139" s="309"/>
      <c r="EC139" s="309"/>
      <c r="ED139" s="309"/>
      <c r="EE139" s="309"/>
      <c r="EF139" s="309"/>
      <c r="EG139" s="309"/>
      <c r="EH139" s="309"/>
      <c r="EI139" s="309"/>
      <c r="EJ139" s="309"/>
      <c r="EK139" s="309"/>
      <c r="EL139" s="309"/>
      <c r="EM139" s="309"/>
      <c r="EN139" s="309"/>
      <c r="EO139" s="309"/>
      <c r="EP139" s="309"/>
      <c r="EQ139" s="309"/>
      <c r="ER139" s="309"/>
      <c r="ES139" s="309"/>
      <c r="ET139" s="309"/>
      <c r="EU139" s="309"/>
      <c r="EV139" s="309"/>
      <c r="EW139" s="309"/>
      <c r="EX139" s="309"/>
      <c r="EY139" s="309"/>
      <c r="EZ139" s="309"/>
      <c r="FA139" s="309"/>
      <c r="FB139" s="309"/>
      <c r="FC139" s="309"/>
      <c r="FD139" s="309"/>
      <c r="FE139" s="309"/>
      <c r="FF139" s="309"/>
      <c r="FG139" s="309"/>
      <c r="FH139" s="309"/>
      <c r="FI139" s="309"/>
      <c r="FJ139" s="309"/>
      <c r="FK139" s="309"/>
      <c r="FL139" s="309"/>
      <c r="FM139" s="309"/>
      <c r="FN139" s="309"/>
      <c r="FO139" s="309"/>
      <c r="FP139" s="309"/>
      <c r="FQ139" s="309"/>
      <c r="FR139" s="309"/>
      <c r="FS139" s="309"/>
      <c r="FT139" s="309"/>
      <c r="FU139" s="309"/>
      <c r="FV139" s="309"/>
      <c r="FW139" s="309"/>
      <c r="FX139" s="309"/>
      <c r="FY139" s="309"/>
      <c r="FZ139" s="309"/>
      <c r="GA139" s="309"/>
      <c r="GB139" s="309"/>
      <c r="GC139" s="309"/>
      <c r="GD139" s="309"/>
      <c r="GE139" s="309"/>
      <c r="GF139" s="309"/>
      <c r="GG139" s="309"/>
      <c r="GH139" s="309"/>
      <c r="GI139" s="309"/>
      <c r="GJ139" s="309"/>
      <c r="GK139" s="309"/>
      <c r="GL139" s="309"/>
      <c r="GM139" s="309"/>
      <c r="GN139" s="309"/>
      <c r="GO139" s="309"/>
      <c r="GP139" s="309"/>
      <c r="GQ139" s="309"/>
      <c r="GR139" s="309"/>
      <c r="GS139" s="309"/>
      <c r="GT139" s="309"/>
      <c r="GU139" s="309"/>
      <c r="GV139" s="309"/>
      <c r="GW139" s="309"/>
      <c r="GX139" s="309"/>
      <c r="GY139" s="309"/>
      <c r="GZ139" s="309"/>
      <c r="HA139" s="309"/>
      <c r="HB139" s="309"/>
      <c r="HC139" s="309"/>
      <c r="HD139" s="309"/>
      <c r="HE139" s="309"/>
      <c r="HF139" s="309"/>
      <c r="HG139" s="309"/>
      <c r="HH139" s="309"/>
      <c r="HI139" s="309"/>
      <c r="HJ139" s="309"/>
      <c r="HK139" s="309"/>
      <c r="HL139" s="309"/>
      <c r="HM139" s="309"/>
      <c r="HN139" s="309"/>
      <c r="HO139" s="309"/>
      <c r="HP139" s="309"/>
      <c r="HQ139" s="309"/>
      <c r="HR139" s="309"/>
      <c r="HS139" s="309"/>
      <c r="HT139" s="309"/>
      <c r="HU139" s="309"/>
      <c r="HV139" s="309"/>
      <c r="HW139" s="309"/>
      <c r="HX139" s="309"/>
      <c r="HY139" s="309"/>
      <c r="HZ139" s="309"/>
      <c r="IA139" s="309"/>
      <c r="IB139" s="309"/>
      <c r="IC139" s="309"/>
      <c r="ID139" s="309"/>
      <c r="IE139" s="309"/>
    </row>
    <row r="140" spans="1:239" ht="25.5">
      <c r="A140" s="310">
        <v>132</v>
      </c>
      <c r="B140" s="360">
        <v>42992</v>
      </c>
      <c r="C140" s="307" t="s">
        <v>517</v>
      </c>
      <c r="D140" s="310" t="s">
        <v>640</v>
      </c>
      <c r="E140" s="310">
        <v>0.4</v>
      </c>
      <c r="F140" s="355" t="s">
        <v>711</v>
      </c>
      <c r="G140" s="310" t="s">
        <v>522</v>
      </c>
      <c r="H140" s="310">
        <v>1.58</v>
      </c>
      <c r="I140" s="310">
        <v>1</v>
      </c>
      <c r="J140" s="310">
        <v>12</v>
      </c>
      <c r="K140" s="310">
        <v>1</v>
      </c>
      <c r="L140" s="348"/>
      <c r="M140" s="346">
        <f t="shared" si="8"/>
        <v>1.58</v>
      </c>
      <c r="N140" s="346">
        <f t="shared" si="9"/>
        <v>18.96</v>
      </c>
      <c r="O140" s="348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  <c r="CD140" s="309"/>
      <c r="CE140" s="309"/>
      <c r="CF140" s="309"/>
      <c r="CG140" s="309"/>
      <c r="CH140" s="309"/>
      <c r="CI140" s="309"/>
      <c r="CJ140" s="309"/>
      <c r="CK140" s="309"/>
      <c r="CL140" s="309"/>
      <c r="CM140" s="309"/>
      <c r="CN140" s="309"/>
      <c r="CO140" s="309"/>
      <c r="CP140" s="309"/>
      <c r="CQ140" s="309"/>
      <c r="CR140" s="309"/>
      <c r="CS140" s="309"/>
      <c r="CT140" s="309"/>
      <c r="CU140" s="309"/>
      <c r="CV140" s="309"/>
      <c r="CW140" s="309"/>
      <c r="CX140" s="309"/>
      <c r="CY140" s="309"/>
      <c r="CZ140" s="309"/>
      <c r="DA140" s="309"/>
      <c r="DB140" s="309"/>
      <c r="DC140" s="309"/>
      <c r="DD140" s="309"/>
      <c r="DE140" s="309"/>
      <c r="DF140" s="309"/>
      <c r="DG140" s="309"/>
      <c r="DH140" s="309"/>
      <c r="DI140" s="309"/>
      <c r="DJ140" s="309"/>
      <c r="DK140" s="309"/>
      <c r="DL140" s="309"/>
      <c r="DM140" s="309"/>
      <c r="DN140" s="309"/>
      <c r="DO140" s="309"/>
      <c r="DP140" s="309"/>
      <c r="DQ140" s="309"/>
      <c r="DR140" s="309"/>
      <c r="DS140" s="309"/>
      <c r="DT140" s="309"/>
      <c r="DU140" s="309"/>
      <c r="DV140" s="309"/>
      <c r="DW140" s="309"/>
      <c r="DX140" s="309"/>
      <c r="DY140" s="309"/>
      <c r="DZ140" s="309"/>
      <c r="EA140" s="309"/>
      <c r="EB140" s="309"/>
      <c r="EC140" s="309"/>
      <c r="ED140" s="309"/>
      <c r="EE140" s="309"/>
      <c r="EF140" s="309"/>
      <c r="EG140" s="309"/>
      <c r="EH140" s="309"/>
      <c r="EI140" s="309"/>
      <c r="EJ140" s="309"/>
      <c r="EK140" s="309"/>
      <c r="EL140" s="309"/>
      <c r="EM140" s="309"/>
      <c r="EN140" s="309"/>
      <c r="EO140" s="309"/>
      <c r="EP140" s="309"/>
      <c r="EQ140" s="309"/>
      <c r="ER140" s="309"/>
      <c r="ES140" s="309"/>
      <c r="ET140" s="309"/>
      <c r="EU140" s="309"/>
      <c r="EV140" s="309"/>
      <c r="EW140" s="309"/>
      <c r="EX140" s="309"/>
      <c r="EY140" s="309"/>
      <c r="EZ140" s="309"/>
      <c r="FA140" s="309"/>
      <c r="FB140" s="309"/>
      <c r="FC140" s="309"/>
      <c r="FD140" s="309"/>
      <c r="FE140" s="309"/>
      <c r="FF140" s="309"/>
      <c r="FG140" s="309"/>
      <c r="FH140" s="309"/>
      <c r="FI140" s="309"/>
      <c r="FJ140" s="309"/>
      <c r="FK140" s="309"/>
      <c r="FL140" s="309"/>
      <c r="FM140" s="309"/>
      <c r="FN140" s="309"/>
      <c r="FO140" s="309"/>
      <c r="FP140" s="309"/>
      <c r="FQ140" s="309"/>
      <c r="FR140" s="309"/>
      <c r="FS140" s="309"/>
      <c r="FT140" s="309"/>
      <c r="FU140" s="309"/>
      <c r="FV140" s="309"/>
      <c r="FW140" s="309"/>
      <c r="FX140" s="309"/>
      <c r="FY140" s="309"/>
      <c r="FZ140" s="309"/>
      <c r="GA140" s="309"/>
      <c r="GB140" s="309"/>
      <c r="GC140" s="309"/>
      <c r="GD140" s="309"/>
      <c r="GE140" s="309"/>
      <c r="GF140" s="309"/>
      <c r="GG140" s="309"/>
      <c r="GH140" s="309"/>
      <c r="GI140" s="309"/>
      <c r="GJ140" s="309"/>
      <c r="GK140" s="309"/>
      <c r="GL140" s="309"/>
      <c r="GM140" s="309"/>
      <c r="GN140" s="309"/>
      <c r="GO140" s="309"/>
      <c r="GP140" s="309"/>
      <c r="GQ140" s="309"/>
      <c r="GR140" s="309"/>
      <c r="GS140" s="309"/>
      <c r="GT140" s="309"/>
      <c r="GU140" s="309"/>
      <c r="GV140" s="309"/>
      <c r="GW140" s="309"/>
      <c r="GX140" s="309"/>
      <c r="GY140" s="309"/>
      <c r="GZ140" s="309"/>
      <c r="HA140" s="309"/>
      <c r="HB140" s="309"/>
      <c r="HC140" s="309"/>
      <c r="HD140" s="309"/>
      <c r="HE140" s="309"/>
      <c r="HF140" s="309"/>
      <c r="HG140" s="309"/>
      <c r="HH140" s="309"/>
      <c r="HI140" s="309"/>
      <c r="HJ140" s="309"/>
      <c r="HK140" s="309"/>
      <c r="HL140" s="309"/>
      <c r="HM140" s="309"/>
      <c r="HN140" s="309"/>
      <c r="HO140" s="309"/>
      <c r="HP140" s="309"/>
      <c r="HQ140" s="309"/>
      <c r="HR140" s="309"/>
      <c r="HS140" s="309"/>
      <c r="HT140" s="309"/>
      <c r="HU140" s="309"/>
      <c r="HV140" s="309"/>
      <c r="HW140" s="309"/>
      <c r="HX140" s="309"/>
      <c r="HY140" s="309"/>
      <c r="HZ140" s="309"/>
      <c r="IA140" s="309"/>
      <c r="IB140" s="309"/>
      <c r="IC140" s="309"/>
      <c r="ID140" s="309"/>
      <c r="IE140" s="309"/>
    </row>
    <row r="141" spans="1:239" ht="25.5">
      <c r="A141" s="310">
        <v>133</v>
      </c>
      <c r="B141" s="360">
        <v>42993</v>
      </c>
      <c r="C141" s="307" t="s">
        <v>517</v>
      </c>
      <c r="D141" s="310" t="s">
        <v>641</v>
      </c>
      <c r="E141" s="310">
        <v>0.4</v>
      </c>
      <c r="F141" s="355" t="s">
        <v>711</v>
      </c>
      <c r="G141" s="310" t="s">
        <v>522</v>
      </c>
      <c r="H141" s="310">
        <v>1.58</v>
      </c>
      <c r="I141" s="310">
        <v>1</v>
      </c>
      <c r="J141" s="310">
        <v>12</v>
      </c>
      <c r="K141" s="310">
        <v>1</v>
      </c>
      <c r="L141" s="348"/>
      <c r="M141" s="346">
        <f t="shared" si="8"/>
        <v>1.58</v>
      </c>
      <c r="N141" s="346">
        <f t="shared" si="9"/>
        <v>18.96</v>
      </c>
      <c r="O141" s="348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09"/>
      <c r="CC141" s="309"/>
      <c r="CD141" s="309"/>
      <c r="CE141" s="309"/>
      <c r="CF141" s="309"/>
      <c r="CG141" s="309"/>
      <c r="CH141" s="309"/>
      <c r="CI141" s="309"/>
      <c r="CJ141" s="309"/>
      <c r="CK141" s="309"/>
      <c r="CL141" s="309"/>
      <c r="CM141" s="309"/>
      <c r="CN141" s="309"/>
      <c r="CO141" s="309"/>
      <c r="CP141" s="309"/>
      <c r="CQ141" s="309"/>
      <c r="CR141" s="309"/>
      <c r="CS141" s="309"/>
      <c r="CT141" s="309"/>
      <c r="CU141" s="309"/>
      <c r="CV141" s="309"/>
      <c r="CW141" s="309"/>
      <c r="CX141" s="309"/>
      <c r="CY141" s="309"/>
      <c r="CZ141" s="309"/>
      <c r="DA141" s="309"/>
      <c r="DB141" s="309"/>
      <c r="DC141" s="309"/>
      <c r="DD141" s="309"/>
      <c r="DE141" s="309"/>
      <c r="DF141" s="309"/>
      <c r="DG141" s="309"/>
      <c r="DH141" s="309"/>
      <c r="DI141" s="309"/>
      <c r="DJ141" s="309"/>
      <c r="DK141" s="309"/>
      <c r="DL141" s="309"/>
      <c r="DM141" s="309"/>
      <c r="DN141" s="309"/>
      <c r="DO141" s="309"/>
      <c r="DP141" s="309"/>
      <c r="DQ141" s="309"/>
      <c r="DR141" s="309"/>
      <c r="DS141" s="309"/>
      <c r="DT141" s="309"/>
      <c r="DU141" s="309"/>
      <c r="DV141" s="309"/>
      <c r="DW141" s="309"/>
      <c r="DX141" s="309"/>
      <c r="DY141" s="309"/>
      <c r="DZ141" s="309"/>
      <c r="EA141" s="309"/>
      <c r="EB141" s="309"/>
      <c r="EC141" s="309"/>
      <c r="ED141" s="309"/>
      <c r="EE141" s="309"/>
      <c r="EF141" s="309"/>
      <c r="EG141" s="309"/>
      <c r="EH141" s="309"/>
      <c r="EI141" s="309"/>
      <c r="EJ141" s="309"/>
      <c r="EK141" s="309"/>
      <c r="EL141" s="309"/>
      <c r="EM141" s="309"/>
      <c r="EN141" s="309"/>
      <c r="EO141" s="309"/>
      <c r="EP141" s="309"/>
      <c r="EQ141" s="309"/>
      <c r="ER141" s="309"/>
      <c r="ES141" s="309"/>
      <c r="ET141" s="309"/>
      <c r="EU141" s="309"/>
      <c r="EV141" s="309"/>
      <c r="EW141" s="309"/>
      <c r="EX141" s="309"/>
      <c r="EY141" s="309"/>
      <c r="EZ141" s="309"/>
      <c r="FA141" s="309"/>
      <c r="FB141" s="309"/>
      <c r="FC141" s="309"/>
      <c r="FD141" s="309"/>
      <c r="FE141" s="309"/>
      <c r="FF141" s="309"/>
      <c r="FG141" s="309"/>
      <c r="FH141" s="309"/>
      <c r="FI141" s="309"/>
      <c r="FJ141" s="309"/>
      <c r="FK141" s="309"/>
      <c r="FL141" s="309"/>
      <c r="FM141" s="309"/>
      <c r="FN141" s="309"/>
      <c r="FO141" s="309"/>
      <c r="FP141" s="309"/>
      <c r="FQ141" s="309"/>
      <c r="FR141" s="309"/>
      <c r="FS141" s="309"/>
      <c r="FT141" s="309"/>
      <c r="FU141" s="309"/>
      <c r="FV141" s="309"/>
      <c r="FW141" s="309"/>
      <c r="FX141" s="309"/>
      <c r="FY141" s="309"/>
      <c r="FZ141" s="309"/>
      <c r="GA141" s="309"/>
      <c r="GB141" s="309"/>
      <c r="GC141" s="309"/>
      <c r="GD141" s="309"/>
      <c r="GE141" s="309"/>
      <c r="GF141" s="309"/>
      <c r="GG141" s="309"/>
      <c r="GH141" s="309"/>
      <c r="GI141" s="309"/>
      <c r="GJ141" s="309"/>
      <c r="GK141" s="309"/>
      <c r="GL141" s="309"/>
      <c r="GM141" s="309"/>
      <c r="GN141" s="309"/>
      <c r="GO141" s="309"/>
      <c r="GP141" s="309"/>
      <c r="GQ141" s="309"/>
      <c r="GR141" s="309"/>
      <c r="GS141" s="309"/>
      <c r="GT141" s="309"/>
      <c r="GU141" s="309"/>
      <c r="GV141" s="309"/>
      <c r="GW141" s="309"/>
      <c r="GX141" s="309"/>
      <c r="GY141" s="309"/>
      <c r="GZ141" s="309"/>
      <c r="HA141" s="309"/>
      <c r="HB141" s="309"/>
      <c r="HC141" s="309"/>
      <c r="HD141" s="309"/>
      <c r="HE141" s="309"/>
      <c r="HF141" s="309"/>
      <c r="HG141" s="309"/>
      <c r="HH141" s="309"/>
      <c r="HI141" s="309"/>
      <c r="HJ141" s="309"/>
      <c r="HK141" s="309"/>
      <c r="HL141" s="309"/>
      <c r="HM141" s="309"/>
      <c r="HN141" s="309"/>
      <c r="HO141" s="309"/>
      <c r="HP141" s="309"/>
      <c r="HQ141" s="309"/>
      <c r="HR141" s="309"/>
      <c r="HS141" s="309"/>
      <c r="HT141" s="309"/>
      <c r="HU141" s="309"/>
      <c r="HV141" s="309"/>
      <c r="HW141" s="309"/>
      <c r="HX141" s="309"/>
      <c r="HY141" s="309"/>
      <c r="HZ141" s="309"/>
      <c r="IA141" s="309"/>
      <c r="IB141" s="309"/>
      <c r="IC141" s="309"/>
      <c r="ID141" s="309"/>
      <c r="IE141" s="309"/>
    </row>
    <row r="142" spans="1:239" ht="25.5">
      <c r="A142" s="310">
        <v>134</v>
      </c>
      <c r="B142" s="360">
        <v>42996</v>
      </c>
      <c r="C142" s="307" t="s">
        <v>517</v>
      </c>
      <c r="D142" s="310" t="s">
        <v>642</v>
      </c>
      <c r="E142" s="310">
        <v>0.4</v>
      </c>
      <c r="F142" s="355" t="s">
        <v>711</v>
      </c>
      <c r="G142" s="310" t="s">
        <v>522</v>
      </c>
      <c r="H142" s="310">
        <v>2.67</v>
      </c>
      <c r="I142" s="310">
        <v>1</v>
      </c>
      <c r="J142" s="310">
        <v>15</v>
      </c>
      <c r="K142" s="310">
        <v>1</v>
      </c>
      <c r="L142" s="348"/>
      <c r="M142" s="346">
        <f t="shared" si="8"/>
        <v>2.67</v>
      </c>
      <c r="N142" s="346">
        <f t="shared" si="9"/>
        <v>40.05</v>
      </c>
      <c r="O142" s="348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  <c r="BX142" s="309"/>
      <c r="BY142" s="309"/>
      <c r="BZ142" s="309"/>
      <c r="CA142" s="309"/>
      <c r="CB142" s="309"/>
      <c r="CC142" s="309"/>
      <c r="CD142" s="309"/>
      <c r="CE142" s="309"/>
      <c r="CF142" s="309"/>
      <c r="CG142" s="309"/>
      <c r="CH142" s="309"/>
      <c r="CI142" s="309"/>
      <c r="CJ142" s="309"/>
      <c r="CK142" s="309"/>
      <c r="CL142" s="309"/>
      <c r="CM142" s="309"/>
      <c r="CN142" s="309"/>
      <c r="CO142" s="309"/>
      <c r="CP142" s="309"/>
      <c r="CQ142" s="309"/>
      <c r="CR142" s="309"/>
      <c r="CS142" s="309"/>
      <c r="CT142" s="309"/>
      <c r="CU142" s="309"/>
      <c r="CV142" s="309"/>
      <c r="CW142" s="309"/>
      <c r="CX142" s="309"/>
      <c r="CY142" s="309"/>
      <c r="CZ142" s="309"/>
      <c r="DA142" s="309"/>
      <c r="DB142" s="309"/>
      <c r="DC142" s="309"/>
      <c r="DD142" s="309"/>
      <c r="DE142" s="309"/>
      <c r="DF142" s="309"/>
      <c r="DG142" s="309"/>
      <c r="DH142" s="309"/>
      <c r="DI142" s="309"/>
      <c r="DJ142" s="309"/>
      <c r="DK142" s="309"/>
      <c r="DL142" s="309"/>
      <c r="DM142" s="309"/>
      <c r="DN142" s="309"/>
      <c r="DO142" s="309"/>
      <c r="DP142" s="309"/>
      <c r="DQ142" s="309"/>
      <c r="DR142" s="309"/>
      <c r="DS142" s="309"/>
      <c r="DT142" s="309"/>
      <c r="DU142" s="309"/>
      <c r="DV142" s="309"/>
      <c r="DW142" s="309"/>
      <c r="DX142" s="309"/>
      <c r="DY142" s="309"/>
      <c r="DZ142" s="309"/>
      <c r="EA142" s="309"/>
      <c r="EB142" s="309"/>
      <c r="EC142" s="309"/>
      <c r="ED142" s="309"/>
      <c r="EE142" s="309"/>
      <c r="EF142" s="309"/>
      <c r="EG142" s="309"/>
      <c r="EH142" s="309"/>
      <c r="EI142" s="309"/>
      <c r="EJ142" s="309"/>
      <c r="EK142" s="309"/>
      <c r="EL142" s="309"/>
      <c r="EM142" s="309"/>
      <c r="EN142" s="309"/>
      <c r="EO142" s="309"/>
      <c r="EP142" s="309"/>
      <c r="EQ142" s="309"/>
      <c r="ER142" s="309"/>
      <c r="ES142" s="309"/>
      <c r="ET142" s="309"/>
      <c r="EU142" s="309"/>
      <c r="EV142" s="309"/>
      <c r="EW142" s="309"/>
      <c r="EX142" s="309"/>
      <c r="EY142" s="309"/>
      <c r="EZ142" s="309"/>
      <c r="FA142" s="309"/>
      <c r="FB142" s="309"/>
      <c r="FC142" s="309"/>
      <c r="FD142" s="309"/>
      <c r="FE142" s="309"/>
      <c r="FF142" s="309"/>
      <c r="FG142" s="309"/>
      <c r="FH142" s="309"/>
      <c r="FI142" s="309"/>
      <c r="FJ142" s="309"/>
      <c r="FK142" s="309"/>
      <c r="FL142" s="309"/>
      <c r="FM142" s="309"/>
      <c r="FN142" s="309"/>
      <c r="FO142" s="309"/>
      <c r="FP142" s="309"/>
      <c r="FQ142" s="309"/>
      <c r="FR142" s="309"/>
      <c r="FS142" s="309"/>
      <c r="FT142" s="309"/>
      <c r="FU142" s="309"/>
      <c r="FV142" s="309"/>
      <c r="FW142" s="309"/>
      <c r="FX142" s="309"/>
      <c r="FY142" s="309"/>
      <c r="FZ142" s="309"/>
      <c r="GA142" s="309"/>
      <c r="GB142" s="309"/>
      <c r="GC142" s="309"/>
      <c r="GD142" s="309"/>
      <c r="GE142" s="309"/>
      <c r="GF142" s="309"/>
      <c r="GG142" s="309"/>
      <c r="GH142" s="309"/>
      <c r="GI142" s="309"/>
      <c r="GJ142" s="309"/>
      <c r="GK142" s="309"/>
      <c r="GL142" s="309"/>
      <c r="GM142" s="309"/>
      <c r="GN142" s="309"/>
      <c r="GO142" s="309"/>
      <c r="GP142" s="309"/>
      <c r="GQ142" s="309"/>
      <c r="GR142" s="309"/>
      <c r="GS142" s="309"/>
      <c r="GT142" s="309"/>
      <c r="GU142" s="309"/>
      <c r="GV142" s="309"/>
      <c r="GW142" s="309"/>
      <c r="GX142" s="309"/>
      <c r="GY142" s="309"/>
      <c r="GZ142" s="309"/>
      <c r="HA142" s="309"/>
      <c r="HB142" s="309"/>
      <c r="HC142" s="309"/>
      <c r="HD142" s="309"/>
      <c r="HE142" s="309"/>
      <c r="HF142" s="309"/>
      <c r="HG142" s="309"/>
      <c r="HH142" s="309"/>
      <c r="HI142" s="309"/>
      <c r="HJ142" s="309"/>
      <c r="HK142" s="309"/>
      <c r="HL142" s="309"/>
      <c r="HM142" s="309"/>
      <c r="HN142" s="309"/>
      <c r="HO142" s="309"/>
      <c r="HP142" s="309"/>
      <c r="HQ142" s="309"/>
      <c r="HR142" s="309"/>
      <c r="HS142" s="309"/>
      <c r="HT142" s="309"/>
      <c r="HU142" s="309"/>
      <c r="HV142" s="309"/>
      <c r="HW142" s="309"/>
      <c r="HX142" s="309"/>
      <c r="HY142" s="309"/>
      <c r="HZ142" s="309"/>
      <c r="IA142" s="309"/>
      <c r="IB142" s="309"/>
      <c r="IC142" s="309"/>
      <c r="ID142" s="309"/>
      <c r="IE142" s="309"/>
    </row>
    <row r="143" spans="1:239" ht="25.5">
      <c r="A143" s="310">
        <v>135</v>
      </c>
      <c r="B143" s="360">
        <v>42996</v>
      </c>
      <c r="C143" s="307" t="s">
        <v>517</v>
      </c>
      <c r="D143" s="310" t="s">
        <v>643</v>
      </c>
      <c r="E143" s="310">
        <v>0.4</v>
      </c>
      <c r="F143" s="355" t="s">
        <v>711</v>
      </c>
      <c r="G143" s="310" t="s">
        <v>522</v>
      </c>
      <c r="H143" s="310">
        <v>2.67</v>
      </c>
      <c r="I143" s="310">
        <v>1</v>
      </c>
      <c r="J143" s="310">
        <v>15</v>
      </c>
      <c r="K143" s="310">
        <v>1</v>
      </c>
      <c r="L143" s="348"/>
      <c r="M143" s="346">
        <f t="shared" si="8"/>
        <v>2.67</v>
      </c>
      <c r="N143" s="346">
        <f t="shared" si="9"/>
        <v>40.05</v>
      </c>
      <c r="O143" s="348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309"/>
      <c r="CI143" s="309"/>
      <c r="CJ143" s="309"/>
      <c r="CK143" s="309"/>
      <c r="CL143" s="309"/>
      <c r="CM143" s="309"/>
      <c r="CN143" s="309"/>
      <c r="CO143" s="309"/>
      <c r="CP143" s="309"/>
      <c r="CQ143" s="309"/>
      <c r="CR143" s="309"/>
      <c r="CS143" s="309"/>
      <c r="CT143" s="309"/>
      <c r="CU143" s="309"/>
      <c r="CV143" s="309"/>
      <c r="CW143" s="309"/>
      <c r="CX143" s="309"/>
      <c r="CY143" s="309"/>
      <c r="CZ143" s="309"/>
      <c r="DA143" s="309"/>
      <c r="DB143" s="309"/>
      <c r="DC143" s="309"/>
      <c r="DD143" s="309"/>
      <c r="DE143" s="309"/>
      <c r="DF143" s="309"/>
      <c r="DG143" s="309"/>
      <c r="DH143" s="309"/>
      <c r="DI143" s="309"/>
      <c r="DJ143" s="309"/>
      <c r="DK143" s="309"/>
      <c r="DL143" s="309"/>
      <c r="DM143" s="309"/>
      <c r="DN143" s="309"/>
      <c r="DO143" s="309"/>
      <c r="DP143" s="309"/>
      <c r="DQ143" s="309"/>
      <c r="DR143" s="309"/>
      <c r="DS143" s="309"/>
      <c r="DT143" s="309"/>
      <c r="DU143" s="309"/>
      <c r="DV143" s="309"/>
      <c r="DW143" s="309"/>
      <c r="DX143" s="309"/>
      <c r="DY143" s="309"/>
      <c r="DZ143" s="309"/>
      <c r="EA143" s="309"/>
      <c r="EB143" s="309"/>
      <c r="EC143" s="309"/>
      <c r="ED143" s="309"/>
      <c r="EE143" s="309"/>
      <c r="EF143" s="309"/>
      <c r="EG143" s="309"/>
      <c r="EH143" s="309"/>
      <c r="EI143" s="309"/>
      <c r="EJ143" s="309"/>
      <c r="EK143" s="309"/>
      <c r="EL143" s="309"/>
      <c r="EM143" s="309"/>
      <c r="EN143" s="309"/>
      <c r="EO143" s="309"/>
      <c r="EP143" s="309"/>
      <c r="EQ143" s="309"/>
      <c r="ER143" s="309"/>
      <c r="ES143" s="309"/>
      <c r="ET143" s="309"/>
      <c r="EU143" s="309"/>
      <c r="EV143" s="309"/>
      <c r="EW143" s="309"/>
      <c r="EX143" s="309"/>
      <c r="EY143" s="309"/>
      <c r="EZ143" s="309"/>
      <c r="FA143" s="309"/>
      <c r="FB143" s="309"/>
      <c r="FC143" s="309"/>
      <c r="FD143" s="309"/>
      <c r="FE143" s="309"/>
      <c r="FF143" s="309"/>
      <c r="FG143" s="309"/>
      <c r="FH143" s="309"/>
      <c r="FI143" s="309"/>
      <c r="FJ143" s="309"/>
      <c r="FK143" s="309"/>
      <c r="FL143" s="309"/>
      <c r="FM143" s="309"/>
      <c r="FN143" s="309"/>
      <c r="FO143" s="309"/>
      <c r="FP143" s="309"/>
      <c r="FQ143" s="309"/>
      <c r="FR143" s="309"/>
      <c r="FS143" s="309"/>
      <c r="FT143" s="309"/>
      <c r="FU143" s="309"/>
      <c r="FV143" s="309"/>
      <c r="FW143" s="309"/>
      <c r="FX143" s="309"/>
      <c r="FY143" s="309"/>
      <c r="FZ143" s="309"/>
      <c r="GA143" s="309"/>
      <c r="GB143" s="309"/>
      <c r="GC143" s="309"/>
      <c r="GD143" s="309"/>
      <c r="GE143" s="309"/>
      <c r="GF143" s="309"/>
      <c r="GG143" s="309"/>
      <c r="GH143" s="309"/>
      <c r="GI143" s="309"/>
      <c r="GJ143" s="309"/>
      <c r="GK143" s="309"/>
      <c r="GL143" s="309"/>
      <c r="GM143" s="309"/>
      <c r="GN143" s="309"/>
      <c r="GO143" s="309"/>
      <c r="GP143" s="309"/>
      <c r="GQ143" s="309"/>
      <c r="GR143" s="309"/>
      <c r="GS143" s="309"/>
      <c r="GT143" s="309"/>
      <c r="GU143" s="309"/>
      <c r="GV143" s="309"/>
      <c r="GW143" s="309"/>
      <c r="GX143" s="309"/>
      <c r="GY143" s="309"/>
      <c r="GZ143" s="309"/>
      <c r="HA143" s="309"/>
      <c r="HB143" s="309"/>
      <c r="HC143" s="309"/>
      <c r="HD143" s="309"/>
      <c r="HE143" s="309"/>
      <c r="HF143" s="309"/>
      <c r="HG143" s="309"/>
      <c r="HH143" s="309"/>
      <c r="HI143" s="309"/>
      <c r="HJ143" s="309"/>
      <c r="HK143" s="309"/>
      <c r="HL143" s="309"/>
      <c r="HM143" s="309"/>
      <c r="HN143" s="309"/>
      <c r="HO143" s="309"/>
      <c r="HP143" s="309"/>
      <c r="HQ143" s="309"/>
      <c r="HR143" s="309"/>
      <c r="HS143" s="309"/>
      <c r="HT143" s="309"/>
      <c r="HU143" s="309"/>
      <c r="HV143" s="309"/>
      <c r="HW143" s="309"/>
      <c r="HX143" s="309"/>
      <c r="HY143" s="309"/>
      <c r="HZ143" s="309"/>
      <c r="IA143" s="309"/>
      <c r="IB143" s="309"/>
      <c r="IC143" s="309"/>
      <c r="ID143" s="309"/>
      <c r="IE143" s="309"/>
    </row>
    <row r="144" spans="1:239" ht="25.5">
      <c r="A144" s="310">
        <v>136</v>
      </c>
      <c r="B144" s="360">
        <v>42997</v>
      </c>
      <c r="C144" s="307" t="s">
        <v>517</v>
      </c>
      <c r="D144" s="310" t="s">
        <v>644</v>
      </c>
      <c r="E144" s="310">
        <v>0.4</v>
      </c>
      <c r="F144" s="355" t="s">
        <v>711</v>
      </c>
      <c r="G144" s="310" t="s">
        <v>522</v>
      </c>
      <c r="H144" s="310">
        <v>4.5</v>
      </c>
      <c r="I144" s="310">
        <v>1</v>
      </c>
      <c r="J144" s="310">
        <v>20</v>
      </c>
      <c r="K144" s="310">
        <v>1</v>
      </c>
      <c r="L144" s="348"/>
      <c r="M144" s="346">
        <f t="shared" si="8"/>
        <v>4.5</v>
      </c>
      <c r="N144" s="346">
        <f t="shared" si="9"/>
        <v>90</v>
      </c>
      <c r="O144" s="348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DI144" s="309"/>
      <c r="DJ144" s="309"/>
      <c r="DK144" s="309"/>
      <c r="DL144" s="309"/>
      <c r="DM144" s="309"/>
      <c r="DN144" s="309"/>
      <c r="DO144" s="309"/>
      <c r="DP144" s="309"/>
      <c r="DQ144" s="309"/>
      <c r="DR144" s="309"/>
      <c r="DS144" s="309"/>
      <c r="DT144" s="309"/>
      <c r="DU144" s="309"/>
      <c r="DV144" s="309"/>
      <c r="DW144" s="309"/>
      <c r="DX144" s="309"/>
      <c r="DY144" s="309"/>
      <c r="DZ144" s="309"/>
      <c r="EA144" s="309"/>
      <c r="EB144" s="309"/>
      <c r="EC144" s="309"/>
      <c r="ED144" s="309"/>
      <c r="EE144" s="309"/>
      <c r="EF144" s="309"/>
      <c r="EG144" s="309"/>
      <c r="EH144" s="309"/>
      <c r="EI144" s="309"/>
      <c r="EJ144" s="309"/>
      <c r="EK144" s="309"/>
      <c r="EL144" s="309"/>
      <c r="EM144" s="309"/>
      <c r="EN144" s="309"/>
      <c r="EO144" s="309"/>
      <c r="EP144" s="309"/>
      <c r="EQ144" s="309"/>
      <c r="ER144" s="309"/>
      <c r="ES144" s="309"/>
      <c r="ET144" s="309"/>
      <c r="EU144" s="309"/>
      <c r="EV144" s="309"/>
      <c r="EW144" s="309"/>
      <c r="EX144" s="309"/>
      <c r="EY144" s="309"/>
      <c r="EZ144" s="309"/>
      <c r="FA144" s="309"/>
      <c r="FB144" s="309"/>
      <c r="FC144" s="309"/>
      <c r="FD144" s="309"/>
      <c r="FE144" s="309"/>
      <c r="FF144" s="309"/>
      <c r="FG144" s="309"/>
      <c r="FH144" s="309"/>
      <c r="FI144" s="309"/>
      <c r="FJ144" s="309"/>
      <c r="FK144" s="309"/>
      <c r="FL144" s="309"/>
      <c r="FM144" s="309"/>
      <c r="FN144" s="309"/>
      <c r="FO144" s="309"/>
      <c r="FP144" s="309"/>
      <c r="FQ144" s="309"/>
      <c r="FR144" s="309"/>
      <c r="FS144" s="309"/>
      <c r="FT144" s="309"/>
      <c r="FU144" s="309"/>
      <c r="FV144" s="309"/>
      <c r="FW144" s="309"/>
      <c r="FX144" s="309"/>
      <c r="FY144" s="309"/>
      <c r="FZ144" s="309"/>
      <c r="GA144" s="309"/>
      <c r="GB144" s="309"/>
      <c r="GC144" s="309"/>
      <c r="GD144" s="309"/>
      <c r="GE144" s="309"/>
      <c r="GF144" s="309"/>
      <c r="GG144" s="309"/>
      <c r="GH144" s="309"/>
      <c r="GI144" s="309"/>
      <c r="GJ144" s="309"/>
      <c r="GK144" s="309"/>
      <c r="GL144" s="309"/>
      <c r="GM144" s="309"/>
      <c r="GN144" s="309"/>
      <c r="GO144" s="309"/>
      <c r="GP144" s="309"/>
      <c r="GQ144" s="309"/>
      <c r="GR144" s="309"/>
      <c r="GS144" s="309"/>
      <c r="GT144" s="309"/>
      <c r="GU144" s="309"/>
      <c r="GV144" s="309"/>
      <c r="GW144" s="309"/>
      <c r="GX144" s="309"/>
      <c r="GY144" s="309"/>
      <c r="GZ144" s="309"/>
      <c r="HA144" s="309"/>
      <c r="HB144" s="309"/>
      <c r="HC144" s="309"/>
      <c r="HD144" s="309"/>
      <c r="HE144" s="309"/>
      <c r="HF144" s="309"/>
      <c r="HG144" s="309"/>
      <c r="HH144" s="309"/>
      <c r="HI144" s="309"/>
      <c r="HJ144" s="309"/>
      <c r="HK144" s="309"/>
      <c r="HL144" s="309"/>
      <c r="HM144" s="309"/>
      <c r="HN144" s="309"/>
      <c r="HO144" s="309"/>
      <c r="HP144" s="309"/>
      <c r="HQ144" s="309"/>
      <c r="HR144" s="309"/>
      <c r="HS144" s="309"/>
      <c r="HT144" s="309"/>
      <c r="HU144" s="309"/>
      <c r="HV144" s="309"/>
      <c r="HW144" s="309"/>
      <c r="HX144" s="309"/>
      <c r="HY144" s="309"/>
      <c r="HZ144" s="309"/>
      <c r="IA144" s="309"/>
      <c r="IB144" s="309"/>
      <c r="IC144" s="309"/>
      <c r="ID144" s="309"/>
      <c r="IE144" s="309"/>
    </row>
    <row r="145" spans="1:239" ht="25.5">
      <c r="A145" s="310">
        <v>137</v>
      </c>
      <c r="B145" s="360">
        <v>42997</v>
      </c>
      <c r="C145" s="307" t="s">
        <v>517</v>
      </c>
      <c r="D145" s="310" t="s">
        <v>645</v>
      </c>
      <c r="E145" s="310">
        <v>0.4</v>
      </c>
      <c r="F145" s="355" t="s">
        <v>711</v>
      </c>
      <c r="G145" s="310" t="s">
        <v>522</v>
      </c>
      <c r="H145" s="310">
        <v>4.5</v>
      </c>
      <c r="I145" s="310">
        <v>1</v>
      </c>
      <c r="J145" s="310">
        <v>46</v>
      </c>
      <c r="K145" s="310">
        <v>1</v>
      </c>
      <c r="L145" s="348"/>
      <c r="M145" s="346">
        <f t="shared" si="8"/>
        <v>4.5</v>
      </c>
      <c r="N145" s="346">
        <f t="shared" si="9"/>
        <v>207</v>
      </c>
      <c r="O145" s="348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  <c r="DB145" s="309"/>
      <c r="DC145" s="309"/>
      <c r="DD145" s="309"/>
      <c r="DE145" s="309"/>
      <c r="DF145" s="309"/>
      <c r="DG145" s="309"/>
      <c r="DH145" s="309"/>
      <c r="DI145" s="309"/>
      <c r="DJ145" s="309"/>
      <c r="DK145" s="309"/>
      <c r="DL145" s="309"/>
      <c r="DM145" s="309"/>
      <c r="DN145" s="309"/>
      <c r="DO145" s="309"/>
      <c r="DP145" s="309"/>
      <c r="DQ145" s="309"/>
      <c r="DR145" s="309"/>
      <c r="DS145" s="309"/>
      <c r="DT145" s="309"/>
      <c r="DU145" s="309"/>
      <c r="DV145" s="309"/>
      <c r="DW145" s="309"/>
      <c r="DX145" s="309"/>
      <c r="DY145" s="309"/>
      <c r="DZ145" s="309"/>
      <c r="EA145" s="309"/>
      <c r="EB145" s="309"/>
      <c r="EC145" s="309"/>
      <c r="ED145" s="309"/>
      <c r="EE145" s="309"/>
      <c r="EF145" s="309"/>
      <c r="EG145" s="309"/>
      <c r="EH145" s="309"/>
      <c r="EI145" s="309"/>
      <c r="EJ145" s="309"/>
      <c r="EK145" s="309"/>
      <c r="EL145" s="309"/>
      <c r="EM145" s="309"/>
      <c r="EN145" s="309"/>
      <c r="EO145" s="309"/>
      <c r="EP145" s="309"/>
      <c r="EQ145" s="309"/>
      <c r="ER145" s="309"/>
      <c r="ES145" s="309"/>
      <c r="ET145" s="309"/>
      <c r="EU145" s="309"/>
      <c r="EV145" s="309"/>
      <c r="EW145" s="309"/>
      <c r="EX145" s="309"/>
      <c r="EY145" s="309"/>
      <c r="EZ145" s="309"/>
      <c r="FA145" s="309"/>
      <c r="FB145" s="309"/>
      <c r="FC145" s="309"/>
      <c r="FD145" s="309"/>
      <c r="FE145" s="309"/>
      <c r="FF145" s="309"/>
      <c r="FG145" s="309"/>
      <c r="FH145" s="309"/>
      <c r="FI145" s="309"/>
      <c r="FJ145" s="309"/>
      <c r="FK145" s="309"/>
      <c r="FL145" s="309"/>
      <c r="FM145" s="309"/>
      <c r="FN145" s="309"/>
      <c r="FO145" s="309"/>
      <c r="FP145" s="309"/>
      <c r="FQ145" s="309"/>
      <c r="FR145" s="309"/>
      <c r="FS145" s="309"/>
      <c r="FT145" s="309"/>
      <c r="FU145" s="309"/>
      <c r="FV145" s="309"/>
      <c r="FW145" s="309"/>
      <c r="FX145" s="309"/>
      <c r="FY145" s="309"/>
      <c r="FZ145" s="309"/>
      <c r="GA145" s="309"/>
      <c r="GB145" s="309"/>
      <c r="GC145" s="309"/>
      <c r="GD145" s="309"/>
      <c r="GE145" s="309"/>
      <c r="GF145" s="309"/>
      <c r="GG145" s="309"/>
      <c r="GH145" s="309"/>
      <c r="GI145" s="309"/>
      <c r="GJ145" s="309"/>
      <c r="GK145" s="309"/>
      <c r="GL145" s="309"/>
      <c r="GM145" s="309"/>
      <c r="GN145" s="309"/>
      <c r="GO145" s="309"/>
      <c r="GP145" s="309"/>
      <c r="GQ145" s="309"/>
      <c r="GR145" s="309"/>
      <c r="GS145" s="309"/>
      <c r="GT145" s="309"/>
      <c r="GU145" s="309"/>
      <c r="GV145" s="309"/>
      <c r="GW145" s="309"/>
      <c r="GX145" s="309"/>
      <c r="GY145" s="309"/>
      <c r="GZ145" s="309"/>
      <c r="HA145" s="309"/>
      <c r="HB145" s="309"/>
      <c r="HC145" s="309"/>
      <c r="HD145" s="309"/>
      <c r="HE145" s="309"/>
      <c r="HF145" s="309"/>
      <c r="HG145" s="309"/>
      <c r="HH145" s="309"/>
      <c r="HI145" s="309"/>
      <c r="HJ145" s="309"/>
      <c r="HK145" s="309"/>
      <c r="HL145" s="309"/>
      <c r="HM145" s="309"/>
      <c r="HN145" s="309"/>
      <c r="HO145" s="309"/>
      <c r="HP145" s="309"/>
      <c r="HQ145" s="309"/>
      <c r="HR145" s="309"/>
      <c r="HS145" s="309"/>
      <c r="HT145" s="309"/>
      <c r="HU145" s="309"/>
      <c r="HV145" s="309"/>
      <c r="HW145" s="309"/>
      <c r="HX145" s="309"/>
      <c r="HY145" s="309"/>
      <c r="HZ145" s="309"/>
      <c r="IA145" s="309"/>
      <c r="IB145" s="309"/>
      <c r="IC145" s="309"/>
      <c r="ID145" s="309"/>
      <c r="IE145" s="309"/>
    </row>
    <row r="146" spans="1:239" ht="25.5">
      <c r="A146" s="310">
        <v>138</v>
      </c>
      <c r="B146" s="360">
        <v>42998</v>
      </c>
      <c r="C146" s="307" t="s">
        <v>517</v>
      </c>
      <c r="D146" s="310" t="s">
        <v>646</v>
      </c>
      <c r="E146" s="310">
        <v>0.4</v>
      </c>
      <c r="F146" s="355" t="s">
        <v>711</v>
      </c>
      <c r="G146" s="310" t="s">
        <v>522</v>
      </c>
      <c r="H146" s="310">
        <v>5.08</v>
      </c>
      <c r="I146" s="310">
        <v>1</v>
      </c>
      <c r="J146" s="310">
        <v>15</v>
      </c>
      <c r="K146" s="310">
        <v>1</v>
      </c>
      <c r="L146" s="348"/>
      <c r="M146" s="346">
        <f t="shared" si="8"/>
        <v>5.08</v>
      </c>
      <c r="N146" s="346">
        <f t="shared" si="9"/>
        <v>76.2</v>
      </c>
      <c r="O146" s="348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  <c r="CR146" s="309"/>
      <c r="CS146" s="309"/>
      <c r="CT146" s="309"/>
      <c r="CU146" s="309"/>
      <c r="CV146" s="309"/>
      <c r="CW146" s="309"/>
      <c r="CX146" s="309"/>
      <c r="CY146" s="309"/>
      <c r="CZ146" s="309"/>
      <c r="DA146" s="309"/>
      <c r="DB146" s="309"/>
      <c r="DC146" s="309"/>
      <c r="DD146" s="309"/>
      <c r="DE146" s="309"/>
      <c r="DF146" s="309"/>
      <c r="DG146" s="309"/>
      <c r="DH146" s="309"/>
      <c r="DI146" s="309"/>
      <c r="DJ146" s="309"/>
      <c r="DK146" s="309"/>
      <c r="DL146" s="309"/>
      <c r="DM146" s="309"/>
      <c r="DN146" s="309"/>
      <c r="DO146" s="309"/>
      <c r="DP146" s="309"/>
      <c r="DQ146" s="309"/>
      <c r="DR146" s="309"/>
      <c r="DS146" s="309"/>
      <c r="DT146" s="309"/>
      <c r="DU146" s="309"/>
      <c r="DV146" s="309"/>
      <c r="DW146" s="309"/>
      <c r="DX146" s="309"/>
      <c r="DY146" s="309"/>
      <c r="DZ146" s="309"/>
      <c r="EA146" s="309"/>
      <c r="EB146" s="309"/>
      <c r="EC146" s="309"/>
      <c r="ED146" s="309"/>
      <c r="EE146" s="309"/>
      <c r="EF146" s="309"/>
      <c r="EG146" s="309"/>
      <c r="EH146" s="309"/>
      <c r="EI146" s="309"/>
      <c r="EJ146" s="309"/>
      <c r="EK146" s="309"/>
      <c r="EL146" s="309"/>
      <c r="EM146" s="309"/>
      <c r="EN146" s="309"/>
      <c r="EO146" s="309"/>
      <c r="EP146" s="309"/>
      <c r="EQ146" s="309"/>
      <c r="ER146" s="309"/>
      <c r="ES146" s="309"/>
      <c r="ET146" s="309"/>
      <c r="EU146" s="309"/>
      <c r="EV146" s="309"/>
      <c r="EW146" s="309"/>
      <c r="EX146" s="309"/>
      <c r="EY146" s="309"/>
      <c r="EZ146" s="309"/>
      <c r="FA146" s="309"/>
      <c r="FB146" s="309"/>
      <c r="FC146" s="309"/>
      <c r="FD146" s="309"/>
      <c r="FE146" s="309"/>
      <c r="FF146" s="309"/>
      <c r="FG146" s="309"/>
      <c r="FH146" s="309"/>
      <c r="FI146" s="309"/>
      <c r="FJ146" s="309"/>
      <c r="FK146" s="309"/>
      <c r="FL146" s="309"/>
      <c r="FM146" s="309"/>
      <c r="FN146" s="309"/>
      <c r="FO146" s="309"/>
      <c r="FP146" s="309"/>
      <c r="FQ146" s="309"/>
      <c r="FR146" s="309"/>
      <c r="FS146" s="309"/>
      <c r="FT146" s="309"/>
      <c r="FU146" s="309"/>
      <c r="FV146" s="309"/>
      <c r="FW146" s="309"/>
      <c r="FX146" s="309"/>
      <c r="FY146" s="309"/>
      <c r="FZ146" s="309"/>
      <c r="GA146" s="309"/>
      <c r="GB146" s="309"/>
      <c r="GC146" s="309"/>
      <c r="GD146" s="309"/>
      <c r="GE146" s="309"/>
      <c r="GF146" s="309"/>
      <c r="GG146" s="309"/>
      <c r="GH146" s="309"/>
      <c r="GI146" s="309"/>
      <c r="GJ146" s="309"/>
      <c r="GK146" s="309"/>
      <c r="GL146" s="309"/>
      <c r="GM146" s="309"/>
      <c r="GN146" s="309"/>
      <c r="GO146" s="309"/>
      <c r="GP146" s="309"/>
      <c r="GQ146" s="309"/>
      <c r="GR146" s="309"/>
      <c r="GS146" s="309"/>
      <c r="GT146" s="309"/>
      <c r="GU146" s="309"/>
      <c r="GV146" s="309"/>
      <c r="GW146" s="309"/>
      <c r="GX146" s="309"/>
      <c r="GY146" s="309"/>
      <c r="GZ146" s="309"/>
      <c r="HA146" s="309"/>
      <c r="HB146" s="309"/>
      <c r="HC146" s="309"/>
      <c r="HD146" s="309"/>
      <c r="HE146" s="309"/>
      <c r="HF146" s="309"/>
      <c r="HG146" s="309"/>
      <c r="HH146" s="309"/>
      <c r="HI146" s="309"/>
      <c r="HJ146" s="309"/>
      <c r="HK146" s="309"/>
      <c r="HL146" s="309"/>
      <c r="HM146" s="309"/>
      <c r="HN146" s="309"/>
      <c r="HO146" s="309"/>
      <c r="HP146" s="309"/>
      <c r="HQ146" s="309"/>
      <c r="HR146" s="309"/>
      <c r="HS146" s="309"/>
      <c r="HT146" s="309"/>
      <c r="HU146" s="309"/>
      <c r="HV146" s="309"/>
      <c r="HW146" s="309"/>
      <c r="HX146" s="309"/>
      <c r="HY146" s="309"/>
      <c r="HZ146" s="309"/>
      <c r="IA146" s="309"/>
      <c r="IB146" s="309"/>
      <c r="IC146" s="309"/>
      <c r="ID146" s="309"/>
      <c r="IE146" s="309"/>
    </row>
    <row r="147" spans="1:239" ht="25.5">
      <c r="A147" s="310">
        <v>139</v>
      </c>
      <c r="B147" s="360">
        <v>42999</v>
      </c>
      <c r="C147" s="307" t="s">
        <v>517</v>
      </c>
      <c r="D147" s="310" t="s">
        <v>647</v>
      </c>
      <c r="E147" s="310">
        <v>0.4</v>
      </c>
      <c r="F147" s="355" t="s">
        <v>711</v>
      </c>
      <c r="G147" s="310" t="s">
        <v>522</v>
      </c>
      <c r="H147" s="310">
        <v>2.83</v>
      </c>
      <c r="I147" s="310">
        <v>1</v>
      </c>
      <c r="J147" s="310">
        <v>26</v>
      </c>
      <c r="K147" s="310">
        <v>1</v>
      </c>
      <c r="L147" s="348"/>
      <c r="M147" s="346">
        <f t="shared" si="8"/>
        <v>2.83</v>
      </c>
      <c r="N147" s="346">
        <f t="shared" si="9"/>
        <v>73.58</v>
      </c>
      <c r="O147" s="348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  <c r="CR147" s="309"/>
      <c r="CS147" s="309"/>
      <c r="CT147" s="309"/>
      <c r="CU147" s="309"/>
      <c r="CV147" s="309"/>
      <c r="CW147" s="309"/>
      <c r="CX147" s="309"/>
      <c r="CY147" s="309"/>
      <c r="CZ147" s="309"/>
      <c r="DA147" s="309"/>
      <c r="DB147" s="309"/>
      <c r="DC147" s="309"/>
      <c r="DD147" s="309"/>
      <c r="DE147" s="309"/>
      <c r="DF147" s="309"/>
      <c r="DG147" s="309"/>
      <c r="DH147" s="309"/>
      <c r="DI147" s="309"/>
      <c r="DJ147" s="309"/>
      <c r="DK147" s="309"/>
      <c r="DL147" s="309"/>
      <c r="DM147" s="309"/>
      <c r="DN147" s="309"/>
      <c r="DO147" s="309"/>
      <c r="DP147" s="309"/>
      <c r="DQ147" s="309"/>
      <c r="DR147" s="309"/>
      <c r="DS147" s="309"/>
      <c r="DT147" s="309"/>
      <c r="DU147" s="309"/>
      <c r="DV147" s="309"/>
      <c r="DW147" s="309"/>
      <c r="DX147" s="309"/>
      <c r="DY147" s="309"/>
      <c r="DZ147" s="309"/>
      <c r="EA147" s="309"/>
      <c r="EB147" s="309"/>
      <c r="EC147" s="309"/>
      <c r="ED147" s="309"/>
      <c r="EE147" s="309"/>
      <c r="EF147" s="309"/>
      <c r="EG147" s="309"/>
      <c r="EH147" s="309"/>
      <c r="EI147" s="309"/>
      <c r="EJ147" s="309"/>
      <c r="EK147" s="309"/>
      <c r="EL147" s="309"/>
      <c r="EM147" s="309"/>
      <c r="EN147" s="309"/>
      <c r="EO147" s="309"/>
      <c r="EP147" s="309"/>
      <c r="EQ147" s="309"/>
      <c r="ER147" s="309"/>
      <c r="ES147" s="309"/>
      <c r="ET147" s="309"/>
      <c r="EU147" s="309"/>
      <c r="EV147" s="309"/>
      <c r="EW147" s="309"/>
      <c r="EX147" s="309"/>
      <c r="EY147" s="309"/>
      <c r="EZ147" s="309"/>
      <c r="FA147" s="309"/>
      <c r="FB147" s="309"/>
      <c r="FC147" s="309"/>
      <c r="FD147" s="309"/>
      <c r="FE147" s="309"/>
      <c r="FF147" s="309"/>
      <c r="FG147" s="309"/>
      <c r="FH147" s="309"/>
      <c r="FI147" s="309"/>
      <c r="FJ147" s="309"/>
      <c r="FK147" s="309"/>
      <c r="FL147" s="309"/>
      <c r="FM147" s="309"/>
      <c r="FN147" s="309"/>
      <c r="FO147" s="309"/>
      <c r="FP147" s="309"/>
      <c r="FQ147" s="309"/>
      <c r="FR147" s="309"/>
      <c r="FS147" s="309"/>
      <c r="FT147" s="309"/>
      <c r="FU147" s="309"/>
      <c r="FV147" s="309"/>
      <c r="FW147" s="309"/>
      <c r="FX147" s="309"/>
      <c r="FY147" s="309"/>
      <c r="FZ147" s="309"/>
      <c r="GA147" s="309"/>
      <c r="GB147" s="309"/>
      <c r="GC147" s="309"/>
      <c r="GD147" s="309"/>
      <c r="GE147" s="309"/>
      <c r="GF147" s="309"/>
      <c r="GG147" s="309"/>
      <c r="GH147" s="309"/>
      <c r="GI147" s="309"/>
      <c r="GJ147" s="309"/>
      <c r="GK147" s="309"/>
      <c r="GL147" s="309"/>
      <c r="GM147" s="309"/>
      <c r="GN147" s="309"/>
      <c r="GO147" s="309"/>
      <c r="GP147" s="309"/>
      <c r="GQ147" s="309"/>
      <c r="GR147" s="309"/>
      <c r="GS147" s="309"/>
      <c r="GT147" s="309"/>
      <c r="GU147" s="309"/>
      <c r="GV147" s="309"/>
      <c r="GW147" s="309"/>
      <c r="GX147" s="309"/>
      <c r="GY147" s="309"/>
      <c r="GZ147" s="309"/>
      <c r="HA147" s="309"/>
      <c r="HB147" s="309"/>
      <c r="HC147" s="309"/>
      <c r="HD147" s="309"/>
      <c r="HE147" s="309"/>
      <c r="HF147" s="309"/>
      <c r="HG147" s="309"/>
      <c r="HH147" s="309"/>
      <c r="HI147" s="309"/>
      <c r="HJ147" s="309"/>
      <c r="HK147" s="309"/>
      <c r="HL147" s="309"/>
      <c r="HM147" s="309"/>
      <c r="HN147" s="309"/>
      <c r="HO147" s="309"/>
      <c r="HP147" s="309"/>
      <c r="HQ147" s="309"/>
      <c r="HR147" s="309"/>
      <c r="HS147" s="309"/>
      <c r="HT147" s="309"/>
      <c r="HU147" s="309"/>
      <c r="HV147" s="309"/>
      <c r="HW147" s="309"/>
      <c r="HX147" s="309"/>
      <c r="HY147" s="309"/>
      <c r="HZ147" s="309"/>
      <c r="IA147" s="309"/>
      <c r="IB147" s="309"/>
      <c r="IC147" s="309"/>
      <c r="ID147" s="309"/>
      <c r="IE147" s="309"/>
    </row>
    <row r="148" spans="1:239" ht="25.5">
      <c r="A148" s="310">
        <v>140</v>
      </c>
      <c r="B148" s="360">
        <v>42999</v>
      </c>
      <c r="C148" s="307" t="s">
        <v>517</v>
      </c>
      <c r="D148" s="310" t="s">
        <v>648</v>
      </c>
      <c r="E148" s="310">
        <v>0.4</v>
      </c>
      <c r="F148" s="355" t="s">
        <v>711</v>
      </c>
      <c r="G148" s="310" t="s">
        <v>522</v>
      </c>
      <c r="H148" s="310">
        <v>2.83</v>
      </c>
      <c r="I148" s="310">
        <v>1</v>
      </c>
      <c r="J148" s="310">
        <v>10</v>
      </c>
      <c r="K148" s="310">
        <v>1</v>
      </c>
      <c r="L148" s="348"/>
      <c r="M148" s="346">
        <f t="shared" si="8"/>
        <v>2.83</v>
      </c>
      <c r="N148" s="346">
        <f t="shared" si="9"/>
        <v>28.3</v>
      </c>
      <c r="O148" s="348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  <c r="BX148" s="309"/>
      <c r="BY148" s="309"/>
      <c r="BZ148" s="309"/>
      <c r="CA148" s="309"/>
      <c r="CB148" s="309"/>
      <c r="CC148" s="309"/>
      <c r="CD148" s="309"/>
      <c r="CE148" s="309"/>
      <c r="CF148" s="309"/>
      <c r="CG148" s="309"/>
      <c r="CH148" s="309"/>
      <c r="CI148" s="309"/>
      <c r="CJ148" s="309"/>
      <c r="CK148" s="309"/>
      <c r="CL148" s="309"/>
      <c r="CM148" s="309"/>
      <c r="CN148" s="309"/>
      <c r="CO148" s="309"/>
      <c r="CP148" s="309"/>
      <c r="CQ148" s="309"/>
      <c r="CR148" s="309"/>
      <c r="CS148" s="309"/>
      <c r="CT148" s="309"/>
      <c r="CU148" s="309"/>
      <c r="CV148" s="309"/>
      <c r="CW148" s="309"/>
      <c r="CX148" s="309"/>
      <c r="CY148" s="309"/>
      <c r="CZ148" s="309"/>
      <c r="DA148" s="309"/>
      <c r="DB148" s="309"/>
      <c r="DC148" s="309"/>
      <c r="DD148" s="309"/>
      <c r="DE148" s="309"/>
      <c r="DF148" s="309"/>
      <c r="DG148" s="309"/>
      <c r="DH148" s="309"/>
      <c r="DI148" s="309"/>
      <c r="DJ148" s="309"/>
      <c r="DK148" s="309"/>
      <c r="DL148" s="309"/>
      <c r="DM148" s="309"/>
      <c r="DN148" s="309"/>
      <c r="DO148" s="309"/>
      <c r="DP148" s="309"/>
      <c r="DQ148" s="309"/>
      <c r="DR148" s="309"/>
      <c r="DS148" s="309"/>
      <c r="DT148" s="309"/>
      <c r="DU148" s="309"/>
      <c r="DV148" s="309"/>
      <c r="DW148" s="309"/>
      <c r="DX148" s="309"/>
      <c r="DY148" s="309"/>
      <c r="DZ148" s="309"/>
      <c r="EA148" s="309"/>
      <c r="EB148" s="309"/>
      <c r="EC148" s="309"/>
      <c r="ED148" s="309"/>
      <c r="EE148" s="309"/>
      <c r="EF148" s="309"/>
      <c r="EG148" s="309"/>
      <c r="EH148" s="309"/>
      <c r="EI148" s="309"/>
      <c r="EJ148" s="309"/>
      <c r="EK148" s="309"/>
      <c r="EL148" s="309"/>
      <c r="EM148" s="309"/>
      <c r="EN148" s="309"/>
      <c r="EO148" s="309"/>
      <c r="EP148" s="309"/>
      <c r="EQ148" s="309"/>
      <c r="ER148" s="309"/>
      <c r="ES148" s="309"/>
      <c r="ET148" s="309"/>
      <c r="EU148" s="309"/>
      <c r="EV148" s="309"/>
      <c r="EW148" s="309"/>
      <c r="EX148" s="309"/>
      <c r="EY148" s="309"/>
      <c r="EZ148" s="309"/>
      <c r="FA148" s="309"/>
      <c r="FB148" s="309"/>
      <c r="FC148" s="309"/>
      <c r="FD148" s="309"/>
      <c r="FE148" s="309"/>
      <c r="FF148" s="309"/>
      <c r="FG148" s="309"/>
      <c r="FH148" s="309"/>
      <c r="FI148" s="309"/>
      <c r="FJ148" s="309"/>
      <c r="FK148" s="309"/>
      <c r="FL148" s="309"/>
      <c r="FM148" s="309"/>
      <c r="FN148" s="309"/>
      <c r="FO148" s="309"/>
      <c r="FP148" s="309"/>
      <c r="FQ148" s="309"/>
      <c r="FR148" s="309"/>
      <c r="FS148" s="309"/>
      <c r="FT148" s="309"/>
      <c r="FU148" s="309"/>
      <c r="FV148" s="309"/>
      <c r="FW148" s="309"/>
      <c r="FX148" s="309"/>
      <c r="FY148" s="309"/>
      <c r="FZ148" s="309"/>
      <c r="GA148" s="309"/>
      <c r="GB148" s="309"/>
      <c r="GC148" s="309"/>
      <c r="GD148" s="309"/>
      <c r="GE148" s="309"/>
      <c r="GF148" s="309"/>
      <c r="GG148" s="309"/>
      <c r="GH148" s="309"/>
      <c r="GI148" s="309"/>
      <c r="GJ148" s="309"/>
      <c r="GK148" s="309"/>
      <c r="GL148" s="309"/>
      <c r="GM148" s="309"/>
      <c r="GN148" s="309"/>
      <c r="GO148" s="309"/>
      <c r="GP148" s="309"/>
      <c r="GQ148" s="309"/>
      <c r="GR148" s="309"/>
      <c r="GS148" s="309"/>
      <c r="GT148" s="309"/>
      <c r="GU148" s="309"/>
      <c r="GV148" s="309"/>
      <c r="GW148" s="309"/>
      <c r="GX148" s="309"/>
      <c r="GY148" s="309"/>
      <c r="GZ148" s="309"/>
      <c r="HA148" s="309"/>
      <c r="HB148" s="309"/>
      <c r="HC148" s="309"/>
      <c r="HD148" s="309"/>
      <c r="HE148" s="309"/>
      <c r="HF148" s="309"/>
      <c r="HG148" s="309"/>
      <c r="HH148" s="309"/>
      <c r="HI148" s="309"/>
      <c r="HJ148" s="309"/>
      <c r="HK148" s="309"/>
      <c r="HL148" s="309"/>
      <c r="HM148" s="309"/>
      <c r="HN148" s="309"/>
      <c r="HO148" s="309"/>
      <c r="HP148" s="309"/>
      <c r="HQ148" s="309"/>
      <c r="HR148" s="309"/>
      <c r="HS148" s="309"/>
      <c r="HT148" s="309"/>
      <c r="HU148" s="309"/>
      <c r="HV148" s="309"/>
      <c r="HW148" s="309"/>
      <c r="HX148" s="309"/>
      <c r="HY148" s="309"/>
      <c r="HZ148" s="309"/>
      <c r="IA148" s="309"/>
      <c r="IB148" s="309"/>
      <c r="IC148" s="309"/>
      <c r="ID148" s="309"/>
      <c r="IE148" s="309"/>
    </row>
    <row r="149" spans="1:239" ht="25.5">
      <c r="A149" s="310">
        <v>141</v>
      </c>
      <c r="B149" s="360">
        <v>43007</v>
      </c>
      <c r="C149" s="307" t="s">
        <v>517</v>
      </c>
      <c r="D149" s="310" t="s">
        <v>649</v>
      </c>
      <c r="E149" s="310">
        <v>0.4</v>
      </c>
      <c r="F149" s="355" t="s">
        <v>711</v>
      </c>
      <c r="G149" s="310" t="s">
        <v>522</v>
      </c>
      <c r="H149" s="310">
        <v>2.25</v>
      </c>
      <c r="I149" s="310">
        <v>1</v>
      </c>
      <c r="J149" s="310">
        <v>10</v>
      </c>
      <c r="K149" s="310">
        <v>1</v>
      </c>
      <c r="L149" s="348"/>
      <c r="M149" s="346">
        <f t="shared" si="8"/>
        <v>2.25</v>
      </c>
      <c r="N149" s="346">
        <f t="shared" si="9"/>
        <v>22.5</v>
      </c>
      <c r="O149" s="348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  <c r="BX149" s="309"/>
      <c r="BY149" s="309"/>
      <c r="BZ149" s="309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  <c r="CQ149" s="309"/>
      <c r="CR149" s="309"/>
      <c r="CS149" s="309"/>
      <c r="CT149" s="309"/>
      <c r="CU149" s="309"/>
      <c r="CV149" s="309"/>
      <c r="CW149" s="309"/>
      <c r="CX149" s="309"/>
      <c r="CY149" s="309"/>
      <c r="CZ149" s="309"/>
      <c r="DA149" s="309"/>
      <c r="DB149" s="309"/>
      <c r="DC149" s="309"/>
      <c r="DD149" s="309"/>
      <c r="DE149" s="309"/>
      <c r="DF149" s="309"/>
      <c r="DG149" s="309"/>
      <c r="DH149" s="309"/>
      <c r="DI149" s="309"/>
      <c r="DJ149" s="309"/>
      <c r="DK149" s="309"/>
      <c r="DL149" s="309"/>
      <c r="DM149" s="309"/>
      <c r="DN149" s="309"/>
      <c r="DO149" s="309"/>
      <c r="DP149" s="309"/>
      <c r="DQ149" s="309"/>
      <c r="DR149" s="309"/>
      <c r="DS149" s="309"/>
      <c r="DT149" s="309"/>
      <c r="DU149" s="309"/>
      <c r="DV149" s="309"/>
      <c r="DW149" s="309"/>
      <c r="DX149" s="309"/>
      <c r="DY149" s="309"/>
      <c r="DZ149" s="309"/>
      <c r="EA149" s="309"/>
      <c r="EB149" s="309"/>
      <c r="EC149" s="309"/>
      <c r="ED149" s="309"/>
      <c r="EE149" s="309"/>
      <c r="EF149" s="309"/>
      <c r="EG149" s="309"/>
      <c r="EH149" s="309"/>
      <c r="EI149" s="309"/>
      <c r="EJ149" s="309"/>
      <c r="EK149" s="309"/>
      <c r="EL149" s="309"/>
      <c r="EM149" s="309"/>
      <c r="EN149" s="309"/>
      <c r="EO149" s="309"/>
      <c r="EP149" s="309"/>
      <c r="EQ149" s="309"/>
      <c r="ER149" s="309"/>
      <c r="ES149" s="309"/>
      <c r="ET149" s="309"/>
      <c r="EU149" s="309"/>
      <c r="EV149" s="309"/>
      <c r="EW149" s="309"/>
      <c r="EX149" s="309"/>
      <c r="EY149" s="309"/>
      <c r="EZ149" s="309"/>
      <c r="FA149" s="309"/>
      <c r="FB149" s="309"/>
      <c r="FC149" s="309"/>
      <c r="FD149" s="309"/>
      <c r="FE149" s="309"/>
      <c r="FF149" s="309"/>
      <c r="FG149" s="309"/>
      <c r="FH149" s="309"/>
      <c r="FI149" s="309"/>
      <c r="FJ149" s="309"/>
      <c r="FK149" s="309"/>
      <c r="FL149" s="309"/>
      <c r="FM149" s="309"/>
      <c r="FN149" s="309"/>
      <c r="FO149" s="309"/>
      <c r="FP149" s="309"/>
      <c r="FQ149" s="309"/>
      <c r="FR149" s="309"/>
      <c r="FS149" s="309"/>
      <c r="FT149" s="309"/>
      <c r="FU149" s="309"/>
      <c r="FV149" s="309"/>
      <c r="FW149" s="309"/>
      <c r="FX149" s="309"/>
      <c r="FY149" s="309"/>
      <c r="FZ149" s="309"/>
      <c r="GA149" s="309"/>
      <c r="GB149" s="309"/>
      <c r="GC149" s="309"/>
      <c r="GD149" s="309"/>
      <c r="GE149" s="309"/>
      <c r="GF149" s="309"/>
      <c r="GG149" s="309"/>
      <c r="GH149" s="309"/>
      <c r="GI149" s="309"/>
      <c r="GJ149" s="309"/>
      <c r="GK149" s="309"/>
      <c r="GL149" s="309"/>
      <c r="GM149" s="309"/>
      <c r="GN149" s="309"/>
      <c r="GO149" s="309"/>
      <c r="GP149" s="309"/>
      <c r="GQ149" s="309"/>
      <c r="GR149" s="309"/>
      <c r="GS149" s="309"/>
      <c r="GT149" s="309"/>
      <c r="GU149" s="309"/>
      <c r="GV149" s="309"/>
      <c r="GW149" s="309"/>
      <c r="GX149" s="309"/>
      <c r="GY149" s="309"/>
      <c r="GZ149" s="309"/>
      <c r="HA149" s="309"/>
      <c r="HB149" s="309"/>
      <c r="HC149" s="309"/>
      <c r="HD149" s="309"/>
      <c r="HE149" s="309"/>
      <c r="HF149" s="309"/>
      <c r="HG149" s="309"/>
      <c r="HH149" s="309"/>
      <c r="HI149" s="309"/>
      <c r="HJ149" s="309"/>
      <c r="HK149" s="309"/>
      <c r="HL149" s="309"/>
      <c r="HM149" s="309"/>
      <c r="HN149" s="309"/>
      <c r="HO149" s="309"/>
      <c r="HP149" s="309"/>
      <c r="HQ149" s="309"/>
      <c r="HR149" s="309"/>
      <c r="HS149" s="309"/>
      <c r="HT149" s="309"/>
      <c r="HU149" s="309"/>
      <c r="HV149" s="309"/>
      <c r="HW149" s="309"/>
      <c r="HX149" s="309"/>
      <c r="HY149" s="309"/>
      <c r="HZ149" s="309"/>
      <c r="IA149" s="309"/>
      <c r="IB149" s="309"/>
      <c r="IC149" s="309"/>
      <c r="ID149" s="309"/>
      <c r="IE149" s="309"/>
    </row>
    <row r="150" spans="1:239" ht="25.5">
      <c r="A150" s="310">
        <v>142</v>
      </c>
      <c r="B150" s="360">
        <v>43011</v>
      </c>
      <c r="C150" s="307" t="s">
        <v>517</v>
      </c>
      <c r="D150" s="310" t="s">
        <v>650</v>
      </c>
      <c r="E150" s="310">
        <v>0.4</v>
      </c>
      <c r="F150" s="355" t="s">
        <v>711</v>
      </c>
      <c r="G150" s="310" t="s">
        <v>522</v>
      </c>
      <c r="H150" s="310">
        <v>3.17</v>
      </c>
      <c r="I150" s="310">
        <v>5</v>
      </c>
      <c r="J150" s="310">
        <v>31.56</v>
      </c>
      <c r="K150" s="310">
        <v>1</v>
      </c>
      <c r="L150" s="348"/>
      <c r="M150" s="346">
        <f t="shared" si="8"/>
        <v>15.85</v>
      </c>
      <c r="N150" s="346">
        <f t="shared" si="9"/>
        <v>100.0452</v>
      </c>
      <c r="O150" s="348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  <c r="CQ150" s="309"/>
      <c r="CR150" s="309"/>
      <c r="CS150" s="309"/>
      <c r="CT150" s="309"/>
      <c r="CU150" s="309"/>
      <c r="CV150" s="309"/>
      <c r="CW150" s="309"/>
      <c r="CX150" s="309"/>
      <c r="CY150" s="309"/>
      <c r="CZ150" s="309"/>
      <c r="DA150" s="309"/>
      <c r="DB150" s="309"/>
      <c r="DC150" s="309"/>
      <c r="DD150" s="309"/>
      <c r="DE150" s="309"/>
      <c r="DF150" s="309"/>
      <c r="DG150" s="309"/>
      <c r="DH150" s="309"/>
      <c r="DI150" s="309"/>
      <c r="DJ150" s="309"/>
      <c r="DK150" s="309"/>
      <c r="DL150" s="309"/>
      <c r="DM150" s="309"/>
      <c r="DN150" s="309"/>
      <c r="DO150" s="309"/>
      <c r="DP150" s="309"/>
      <c r="DQ150" s="309"/>
      <c r="DR150" s="309"/>
      <c r="DS150" s="309"/>
      <c r="DT150" s="309"/>
      <c r="DU150" s="309"/>
      <c r="DV150" s="309"/>
      <c r="DW150" s="309"/>
      <c r="DX150" s="309"/>
      <c r="DY150" s="309"/>
      <c r="DZ150" s="309"/>
      <c r="EA150" s="309"/>
      <c r="EB150" s="309"/>
      <c r="EC150" s="309"/>
      <c r="ED150" s="309"/>
      <c r="EE150" s="309"/>
      <c r="EF150" s="309"/>
      <c r="EG150" s="309"/>
      <c r="EH150" s="309"/>
      <c r="EI150" s="309"/>
      <c r="EJ150" s="309"/>
      <c r="EK150" s="309"/>
      <c r="EL150" s="309"/>
      <c r="EM150" s="309"/>
      <c r="EN150" s="309"/>
      <c r="EO150" s="309"/>
      <c r="EP150" s="309"/>
      <c r="EQ150" s="309"/>
      <c r="ER150" s="309"/>
      <c r="ES150" s="309"/>
      <c r="ET150" s="309"/>
      <c r="EU150" s="309"/>
      <c r="EV150" s="309"/>
      <c r="EW150" s="309"/>
      <c r="EX150" s="309"/>
      <c r="EY150" s="309"/>
      <c r="EZ150" s="309"/>
      <c r="FA150" s="309"/>
      <c r="FB150" s="309"/>
      <c r="FC150" s="309"/>
      <c r="FD150" s="309"/>
      <c r="FE150" s="309"/>
      <c r="FF150" s="309"/>
      <c r="FG150" s="309"/>
      <c r="FH150" s="309"/>
      <c r="FI150" s="309"/>
      <c r="FJ150" s="309"/>
      <c r="FK150" s="309"/>
      <c r="FL150" s="309"/>
      <c r="FM150" s="309"/>
      <c r="FN150" s="309"/>
      <c r="FO150" s="309"/>
      <c r="FP150" s="309"/>
      <c r="FQ150" s="309"/>
      <c r="FR150" s="309"/>
      <c r="FS150" s="309"/>
      <c r="FT150" s="309"/>
      <c r="FU150" s="309"/>
      <c r="FV150" s="309"/>
      <c r="FW150" s="309"/>
      <c r="FX150" s="309"/>
      <c r="FY150" s="309"/>
      <c r="FZ150" s="309"/>
      <c r="GA150" s="309"/>
      <c r="GB150" s="309"/>
      <c r="GC150" s="309"/>
      <c r="GD150" s="309"/>
      <c r="GE150" s="309"/>
      <c r="GF150" s="309"/>
      <c r="GG150" s="309"/>
      <c r="GH150" s="309"/>
      <c r="GI150" s="309"/>
      <c r="GJ150" s="309"/>
      <c r="GK150" s="309"/>
      <c r="GL150" s="309"/>
      <c r="GM150" s="309"/>
      <c r="GN150" s="309"/>
      <c r="GO150" s="309"/>
      <c r="GP150" s="309"/>
      <c r="GQ150" s="309"/>
      <c r="GR150" s="309"/>
      <c r="GS150" s="309"/>
      <c r="GT150" s="309"/>
      <c r="GU150" s="309"/>
      <c r="GV150" s="309"/>
      <c r="GW150" s="309"/>
      <c r="GX150" s="309"/>
      <c r="GY150" s="309"/>
      <c r="GZ150" s="309"/>
      <c r="HA150" s="309"/>
      <c r="HB150" s="309"/>
      <c r="HC150" s="309"/>
      <c r="HD150" s="309"/>
      <c r="HE150" s="309"/>
      <c r="HF150" s="309"/>
      <c r="HG150" s="309"/>
      <c r="HH150" s="309"/>
      <c r="HI150" s="309"/>
      <c r="HJ150" s="309"/>
      <c r="HK150" s="309"/>
      <c r="HL150" s="309"/>
      <c r="HM150" s="309"/>
      <c r="HN150" s="309"/>
      <c r="HO150" s="309"/>
      <c r="HP150" s="309"/>
      <c r="HQ150" s="309"/>
      <c r="HR150" s="309"/>
      <c r="HS150" s="309"/>
      <c r="HT150" s="309"/>
      <c r="HU150" s="309"/>
      <c r="HV150" s="309"/>
      <c r="HW150" s="309"/>
      <c r="HX150" s="309"/>
      <c r="HY150" s="309"/>
      <c r="HZ150" s="309"/>
      <c r="IA150" s="309"/>
      <c r="IB150" s="309"/>
      <c r="IC150" s="309"/>
      <c r="ID150" s="309"/>
      <c r="IE150" s="309"/>
    </row>
    <row r="151" spans="1:239" ht="25.5">
      <c r="A151" s="310">
        <v>143</v>
      </c>
      <c r="B151" s="360">
        <v>43013</v>
      </c>
      <c r="C151" s="307" t="s">
        <v>517</v>
      </c>
      <c r="D151" s="310" t="s">
        <v>651</v>
      </c>
      <c r="E151" s="310">
        <v>0.4</v>
      </c>
      <c r="F151" s="355" t="s">
        <v>711</v>
      </c>
      <c r="G151" s="310" t="s">
        <v>522</v>
      </c>
      <c r="H151" s="310">
        <v>5.5</v>
      </c>
      <c r="I151" s="310">
        <v>2</v>
      </c>
      <c r="J151" s="310">
        <v>3.92</v>
      </c>
      <c r="K151" s="310">
        <v>1</v>
      </c>
      <c r="L151" s="348"/>
      <c r="M151" s="346">
        <f t="shared" si="8"/>
        <v>11</v>
      </c>
      <c r="N151" s="346">
        <f t="shared" si="9"/>
        <v>21.56</v>
      </c>
      <c r="O151" s="348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  <c r="CR151" s="309"/>
      <c r="CS151" s="309"/>
      <c r="CT151" s="309"/>
      <c r="CU151" s="309"/>
      <c r="CV151" s="309"/>
      <c r="CW151" s="309"/>
      <c r="CX151" s="309"/>
      <c r="CY151" s="309"/>
      <c r="CZ151" s="309"/>
      <c r="DA151" s="309"/>
      <c r="DB151" s="309"/>
      <c r="DC151" s="309"/>
      <c r="DD151" s="309"/>
      <c r="DE151" s="309"/>
      <c r="DF151" s="309"/>
      <c r="DG151" s="309"/>
      <c r="DH151" s="309"/>
      <c r="DI151" s="309"/>
      <c r="DJ151" s="309"/>
      <c r="DK151" s="309"/>
      <c r="DL151" s="309"/>
      <c r="DM151" s="309"/>
      <c r="DN151" s="309"/>
      <c r="DO151" s="309"/>
      <c r="DP151" s="309"/>
      <c r="DQ151" s="309"/>
      <c r="DR151" s="309"/>
      <c r="DS151" s="309"/>
      <c r="DT151" s="309"/>
      <c r="DU151" s="309"/>
      <c r="DV151" s="309"/>
      <c r="DW151" s="309"/>
      <c r="DX151" s="309"/>
      <c r="DY151" s="309"/>
      <c r="DZ151" s="309"/>
      <c r="EA151" s="309"/>
      <c r="EB151" s="309"/>
      <c r="EC151" s="309"/>
      <c r="ED151" s="309"/>
      <c r="EE151" s="309"/>
      <c r="EF151" s="309"/>
      <c r="EG151" s="309"/>
      <c r="EH151" s="309"/>
      <c r="EI151" s="309"/>
      <c r="EJ151" s="309"/>
      <c r="EK151" s="309"/>
      <c r="EL151" s="309"/>
      <c r="EM151" s="309"/>
      <c r="EN151" s="309"/>
      <c r="EO151" s="309"/>
      <c r="EP151" s="309"/>
      <c r="EQ151" s="309"/>
      <c r="ER151" s="309"/>
      <c r="ES151" s="309"/>
      <c r="ET151" s="309"/>
      <c r="EU151" s="309"/>
      <c r="EV151" s="309"/>
      <c r="EW151" s="309"/>
      <c r="EX151" s="309"/>
      <c r="EY151" s="309"/>
      <c r="EZ151" s="309"/>
      <c r="FA151" s="309"/>
      <c r="FB151" s="309"/>
      <c r="FC151" s="309"/>
      <c r="FD151" s="309"/>
      <c r="FE151" s="309"/>
      <c r="FF151" s="309"/>
      <c r="FG151" s="309"/>
      <c r="FH151" s="309"/>
      <c r="FI151" s="309"/>
      <c r="FJ151" s="309"/>
      <c r="FK151" s="309"/>
      <c r="FL151" s="309"/>
      <c r="FM151" s="309"/>
      <c r="FN151" s="309"/>
      <c r="FO151" s="309"/>
      <c r="FP151" s="309"/>
      <c r="FQ151" s="309"/>
      <c r="FR151" s="309"/>
      <c r="FS151" s="309"/>
      <c r="FT151" s="309"/>
      <c r="FU151" s="309"/>
      <c r="FV151" s="309"/>
      <c r="FW151" s="309"/>
      <c r="FX151" s="309"/>
      <c r="FY151" s="309"/>
      <c r="FZ151" s="309"/>
      <c r="GA151" s="309"/>
      <c r="GB151" s="309"/>
      <c r="GC151" s="309"/>
      <c r="GD151" s="309"/>
      <c r="GE151" s="309"/>
      <c r="GF151" s="309"/>
      <c r="GG151" s="309"/>
      <c r="GH151" s="309"/>
      <c r="GI151" s="309"/>
      <c r="GJ151" s="309"/>
      <c r="GK151" s="309"/>
      <c r="GL151" s="309"/>
      <c r="GM151" s="309"/>
      <c r="GN151" s="309"/>
      <c r="GO151" s="309"/>
      <c r="GP151" s="309"/>
      <c r="GQ151" s="309"/>
      <c r="GR151" s="309"/>
      <c r="GS151" s="309"/>
      <c r="GT151" s="309"/>
      <c r="GU151" s="309"/>
      <c r="GV151" s="309"/>
      <c r="GW151" s="309"/>
      <c r="GX151" s="309"/>
      <c r="GY151" s="309"/>
      <c r="GZ151" s="309"/>
      <c r="HA151" s="309"/>
      <c r="HB151" s="309"/>
      <c r="HC151" s="309"/>
      <c r="HD151" s="309"/>
      <c r="HE151" s="309"/>
      <c r="HF151" s="309"/>
      <c r="HG151" s="309"/>
      <c r="HH151" s="309"/>
      <c r="HI151" s="309"/>
      <c r="HJ151" s="309"/>
      <c r="HK151" s="309"/>
      <c r="HL151" s="309"/>
      <c r="HM151" s="309"/>
      <c r="HN151" s="309"/>
      <c r="HO151" s="309"/>
      <c r="HP151" s="309"/>
      <c r="HQ151" s="309"/>
      <c r="HR151" s="309"/>
      <c r="HS151" s="309"/>
      <c r="HT151" s="309"/>
      <c r="HU151" s="309"/>
      <c r="HV151" s="309"/>
      <c r="HW151" s="309"/>
      <c r="HX151" s="309"/>
      <c r="HY151" s="309"/>
      <c r="HZ151" s="309"/>
      <c r="IA151" s="309"/>
      <c r="IB151" s="309"/>
      <c r="IC151" s="309"/>
      <c r="ID151" s="309"/>
      <c r="IE151" s="309"/>
    </row>
    <row r="152" spans="1:239" ht="25.5">
      <c r="A152" s="310">
        <v>144</v>
      </c>
      <c r="B152" s="360">
        <v>43018</v>
      </c>
      <c r="C152" s="307" t="s">
        <v>517</v>
      </c>
      <c r="D152" s="310" t="s">
        <v>626</v>
      </c>
      <c r="E152" s="310">
        <v>0.4</v>
      </c>
      <c r="F152" s="355" t="s">
        <v>711</v>
      </c>
      <c r="G152" s="310" t="s">
        <v>516</v>
      </c>
      <c r="H152" s="310">
        <v>0.58</v>
      </c>
      <c r="I152" s="310">
        <v>1</v>
      </c>
      <c r="J152" s="310">
        <v>15.07</v>
      </c>
      <c r="K152" s="310">
        <v>1</v>
      </c>
      <c r="L152" s="348"/>
      <c r="M152" s="346">
        <f t="shared" si="8"/>
        <v>0.58</v>
      </c>
      <c r="N152" s="346">
        <f t="shared" si="9"/>
        <v>8.740599999999999</v>
      </c>
      <c r="O152" s="348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  <c r="CR152" s="309"/>
      <c r="CS152" s="309"/>
      <c r="CT152" s="309"/>
      <c r="CU152" s="309"/>
      <c r="CV152" s="309"/>
      <c r="CW152" s="309"/>
      <c r="CX152" s="309"/>
      <c r="CY152" s="309"/>
      <c r="CZ152" s="309"/>
      <c r="DA152" s="309"/>
      <c r="DB152" s="309"/>
      <c r="DC152" s="309"/>
      <c r="DD152" s="309"/>
      <c r="DE152" s="309"/>
      <c r="DF152" s="309"/>
      <c r="DG152" s="309"/>
      <c r="DH152" s="309"/>
      <c r="DI152" s="309"/>
      <c r="DJ152" s="309"/>
      <c r="DK152" s="309"/>
      <c r="DL152" s="309"/>
      <c r="DM152" s="309"/>
      <c r="DN152" s="309"/>
      <c r="DO152" s="309"/>
      <c r="DP152" s="309"/>
      <c r="DQ152" s="309"/>
      <c r="DR152" s="309"/>
      <c r="DS152" s="309"/>
      <c r="DT152" s="309"/>
      <c r="DU152" s="309"/>
      <c r="DV152" s="309"/>
      <c r="DW152" s="309"/>
      <c r="DX152" s="309"/>
      <c r="DY152" s="309"/>
      <c r="DZ152" s="309"/>
      <c r="EA152" s="309"/>
      <c r="EB152" s="309"/>
      <c r="EC152" s="309"/>
      <c r="ED152" s="309"/>
      <c r="EE152" s="309"/>
      <c r="EF152" s="309"/>
      <c r="EG152" s="309"/>
      <c r="EH152" s="309"/>
      <c r="EI152" s="309"/>
      <c r="EJ152" s="309"/>
      <c r="EK152" s="309"/>
      <c r="EL152" s="309"/>
      <c r="EM152" s="309"/>
      <c r="EN152" s="309"/>
      <c r="EO152" s="309"/>
      <c r="EP152" s="309"/>
      <c r="EQ152" s="309"/>
      <c r="ER152" s="309"/>
      <c r="ES152" s="309"/>
      <c r="ET152" s="309"/>
      <c r="EU152" s="309"/>
      <c r="EV152" s="309"/>
      <c r="EW152" s="309"/>
      <c r="EX152" s="309"/>
      <c r="EY152" s="309"/>
      <c r="EZ152" s="309"/>
      <c r="FA152" s="309"/>
      <c r="FB152" s="309"/>
      <c r="FC152" s="309"/>
      <c r="FD152" s="309"/>
      <c r="FE152" s="309"/>
      <c r="FF152" s="309"/>
      <c r="FG152" s="309"/>
      <c r="FH152" s="309"/>
      <c r="FI152" s="309"/>
      <c r="FJ152" s="309"/>
      <c r="FK152" s="309"/>
      <c r="FL152" s="309"/>
      <c r="FM152" s="309"/>
      <c r="FN152" s="309"/>
      <c r="FO152" s="309"/>
      <c r="FP152" s="309"/>
      <c r="FQ152" s="309"/>
      <c r="FR152" s="309"/>
      <c r="FS152" s="309"/>
      <c r="FT152" s="309"/>
      <c r="FU152" s="309"/>
      <c r="FV152" s="309"/>
      <c r="FW152" s="309"/>
      <c r="FX152" s="309"/>
      <c r="FY152" s="309"/>
      <c r="FZ152" s="309"/>
      <c r="GA152" s="309"/>
      <c r="GB152" s="309"/>
      <c r="GC152" s="309"/>
      <c r="GD152" s="309"/>
      <c r="GE152" s="309"/>
      <c r="GF152" s="309"/>
      <c r="GG152" s="309"/>
      <c r="GH152" s="309"/>
      <c r="GI152" s="309"/>
      <c r="GJ152" s="309"/>
      <c r="GK152" s="309"/>
      <c r="GL152" s="309"/>
      <c r="GM152" s="309"/>
      <c r="GN152" s="309"/>
      <c r="GO152" s="309"/>
      <c r="GP152" s="309"/>
      <c r="GQ152" s="309"/>
      <c r="GR152" s="309"/>
      <c r="GS152" s="309"/>
      <c r="GT152" s="309"/>
      <c r="GU152" s="309"/>
      <c r="GV152" s="309"/>
      <c r="GW152" s="309"/>
      <c r="GX152" s="309"/>
      <c r="GY152" s="309"/>
      <c r="GZ152" s="309"/>
      <c r="HA152" s="309"/>
      <c r="HB152" s="309"/>
      <c r="HC152" s="309"/>
      <c r="HD152" s="309"/>
      <c r="HE152" s="309"/>
      <c r="HF152" s="309"/>
      <c r="HG152" s="309"/>
      <c r="HH152" s="309"/>
      <c r="HI152" s="309"/>
      <c r="HJ152" s="309"/>
      <c r="HK152" s="309"/>
      <c r="HL152" s="309"/>
      <c r="HM152" s="309"/>
      <c r="HN152" s="309"/>
      <c r="HO152" s="309"/>
      <c r="HP152" s="309"/>
      <c r="HQ152" s="309"/>
      <c r="HR152" s="309"/>
      <c r="HS152" s="309"/>
      <c r="HT152" s="309"/>
      <c r="HU152" s="309"/>
      <c r="HV152" s="309"/>
      <c r="HW152" s="309"/>
      <c r="HX152" s="309"/>
      <c r="HY152" s="309"/>
      <c r="HZ152" s="309"/>
      <c r="IA152" s="309"/>
      <c r="IB152" s="309"/>
      <c r="IC152" s="309"/>
      <c r="ID152" s="309"/>
      <c r="IE152" s="309"/>
    </row>
    <row r="153" spans="1:239" ht="25.5">
      <c r="A153" s="310">
        <v>145</v>
      </c>
      <c r="B153" s="360">
        <v>43024</v>
      </c>
      <c r="C153" s="307" t="s">
        <v>517</v>
      </c>
      <c r="D153" s="310" t="s">
        <v>570</v>
      </c>
      <c r="E153" s="310">
        <v>10</v>
      </c>
      <c r="F153" s="355" t="s">
        <v>711</v>
      </c>
      <c r="G153" s="310" t="s">
        <v>522</v>
      </c>
      <c r="H153" s="310">
        <v>7.83</v>
      </c>
      <c r="I153" s="310">
        <v>7</v>
      </c>
      <c r="J153" s="310">
        <v>24.5</v>
      </c>
      <c r="K153" s="310">
        <v>1</v>
      </c>
      <c r="L153" s="348"/>
      <c r="M153" s="346">
        <f t="shared" si="8"/>
        <v>54.81</v>
      </c>
      <c r="N153" s="346">
        <f t="shared" si="9"/>
        <v>191.835</v>
      </c>
      <c r="O153" s="348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  <c r="DA153" s="309"/>
      <c r="DB153" s="309"/>
      <c r="DC153" s="309"/>
      <c r="DD153" s="309"/>
      <c r="DE153" s="309"/>
      <c r="DF153" s="309"/>
      <c r="DG153" s="309"/>
      <c r="DH153" s="309"/>
      <c r="DI153" s="309"/>
      <c r="DJ153" s="309"/>
      <c r="DK153" s="309"/>
      <c r="DL153" s="309"/>
      <c r="DM153" s="309"/>
      <c r="DN153" s="309"/>
      <c r="DO153" s="309"/>
      <c r="DP153" s="309"/>
      <c r="DQ153" s="309"/>
      <c r="DR153" s="309"/>
      <c r="DS153" s="309"/>
      <c r="DT153" s="309"/>
      <c r="DU153" s="309"/>
      <c r="DV153" s="309"/>
      <c r="DW153" s="309"/>
      <c r="DX153" s="309"/>
      <c r="DY153" s="309"/>
      <c r="DZ153" s="309"/>
      <c r="EA153" s="309"/>
      <c r="EB153" s="309"/>
      <c r="EC153" s="309"/>
      <c r="ED153" s="309"/>
      <c r="EE153" s="309"/>
      <c r="EF153" s="309"/>
      <c r="EG153" s="309"/>
      <c r="EH153" s="309"/>
      <c r="EI153" s="309"/>
      <c r="EJ153" s="309"/>
      <c r="EK153" s="309"/>
      <c r="EL153" s="309"/>
      <c r="EM153" s="309"/>
      <c r="EN153" s="309"/>
      <c r="EO153" s="309"/>
      <c r="EP153" s="309"/>
      <c r="EQ153" s="309"/>
      <c r="ER153" s="309"/>
      <c r="ES153" s="309"/>
      <c r="ET153" s="309"/>
      <c r="EU153" s="309"/>
      <c r="EV153" s="309"/>
      <c r="EW153" s="309"/>
      <c r="EX153" s="309"/>
      <c r="EY153" s="309"/>
      <c r="EZ153" s="309"/>
      <c r="FA153" s="309"/>
      <c r="FB153" s="309"/>
      <c r="FC153" s="309"/>
      <c r="FD153" s="309"/>
      <c r="FE153" s="309"/>
      <c r="FF153" s="309"/>
      <c r="FG153" s="309"/>
      <c r="FH153" s="309"/>
      <c r="FI153" s="309"/>
      <c r="FJ153" s="309"/>
      <c r="FK153" s="309"/>
      <c r="FL153" s="309"/>
      <c r="FM153" s="309"/>
      <c r="FN153" s="309"/>
      <c r="FO153" s="309"/>
      <c r="FP153" s="309"/>
      <c r="FQ153" s="309"/>
      <c r="FR153" s="309"/>
      <c r="FS153" s="309"/>
      <c r="FT153" s="309"/>
      <c r="FU153" s="309"/>
      <c r="FV153" s="309"/>
      <c r="FW153" s="309"/>
      <c r="FX153" s="309"/>
      <c r="FY153" s="309"/>
      <c r="FZ153" s="309"/>
      <c r="GA153" s="309"/>
      <c r="GB153" s="309"/>
      <c r="GC153" s="309"/>
      <c r="GD153" s="309"/>
      <c r="GE153" s="309"/>
      <c r="GF153" s="309"/>
      <c r="GG153" s="309"/>
      <c r="GH153" s="309"/>
      <c r="GI153" s="309"/>
      <c r="GJ153" s="309"/>
      <c r="GK153" s="309"/>
      <c r="GL153" s="309"/>
      <c r="GM153" s="309"/>
      <c r="GN153" s="309"/>
      <c r="GO153" s="309"/>
      <c r="GP153" s="309"/>
      <c r="GQ153" s="309"/>
      <c r="GR153" s="309"/>
      <c r="GS153" s="309"/>
      <c r="GT153" s="309"/>
      <c r="GU153" s="309"/>
      <c r="GV153" s="309"/>
      <c r="GW153" s="309"/>
      <c r="GX153" s="309"/>
      <c r="GY153" s="309"/>
      <c r="GZ153" s="309"/>
      <c r="HA153" s="309"/>
      <c r="HB153" s="309"/>
      <c r="HC153" s="309"/>
      <c r="HD153" s="309"/>
      <c r="HE153" s="309"/>
      <c r="HF153" s="309"/>
      <c r="HG153" s="309"/>
      <c r="HH153" s="309"/>
      <c r="HI153" s="309"/>
      <c r="HJ153" s="309"/>
      <c r="HK153" s="309"/>
      <c r="HL153" s="309"/>
      <c r="HM153" s="309"/>
      <c r="HN153" s="309"/>
      <c r="HO153" s="309"/>
      <c r="HP153" s="309"/>
      <c r="HQ153" s="309"/>
      <c r="HR153" s="309"/>
      <c r="HS153" s="309"/>
      <c r="HT153" s="309"/>
      <c r="HU153" s="309"/>
      <c r="HV153" s="309"/>
      <c r="HW153" s="309"/>
      <c r="HX153" s="309"/>
      <c r="HY153" s="309"/>
      <c r="HZ153" s="309"/>
      <c r="IA153" s="309"/>
      <c r="IB153" s="309"/>
      <c r="IC153" s="309"/>
      <c r="ID153" s="309"/>
      <c r="IE153" s="309"/>
    </row>
    <row r="154" spans="1:239" ht="25.5">
      <c r="A154" s="310">
        <v>146</v>
      </c>
      <c r="B154" s="360">
        <v>43025</v>
      </c>
      <c r="C154" s="307" t="s">
        <v>517</v>
      </c>
      <c r="D154" s="310" t="s">
        <v>652</v>
      </c>
      <c r="E154" s="310">
        <v>10</v>
      </c>
      <c r="F154" s="355" t="s">
        <v>711</v>
      </c>
      <c r="G154" s="310" t="s">
        <v>522</v>
      </c>
      <c r="H154" s="310">
        <v>6.25</v>
      </c>
      <c r="I154" s="310">
        <v>8</v>
      </c>
      <c r="J154" s="310">
        <v>47.33</v>
      </c>
      <c r="K154" s="310">
        <v>1</v>
      </c>
      <c r="L154" s="348"/>
      <c r="M154" s="346">
        <f t="shared" si="8"/>
        <v>50</v>
      </c>
      <c r="N154" s="346">
        <f t="shared" si="9"/>
        <v>295.8125</v>
      </c>
      <c r="O154" s="348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  <c r="BX154" s="309"/>
      <c r="BY154" s="309"/>
      <c r="BZ154" s="309"/>
      <c r="CA154" s="309"/>
      <c r="CB154" s="309"/>
      <c r="CC154" s="309"/>
      <c r="CD154" s="309"/>
      <c r="CE154" s="309"/>
      <c r="CF154" s="309"/>
      <c r="CG154" s="309"/>
      <c r="CH154" s="309"/>
      <c r="CI154" s="309"/>
      <c r="CJ154" s="309"/>
      <c r="CK154" s="309"/>
      <c r="CL154" s="309"/>
      <c r="CM154" s="309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  <c r="DA154" s="309"/>
      <c r="DB154" s="309"/>
      <c r="DC154" s="309"/>
      <c r="DD154" s="309"/>
      <c r="DE154" s="309"/>
      <c r="DF154" s="309"/>
      <c r="DG154" s="309"/>
      <c r="DH154" s="309"/>
      <c r="DI154" s="309"/>
      <c r="DJ154" s="309"/>
      <c r="DK154" s="309"/>
      <c r="DL154" s="309"/>
      <c r="DM154" s="309"/>
      <c r="DN154" s="309"/>
      <c r="DO154" s="309"/>
      <c r="DP154" s="309"/>
      <c r="DQ154" s="309"/>
      <c r="DR154" s="309"/>
      <c r="DS154" s="309"/>
      <c r="DT154" s="309"/>
      <c r="DU154" s="309"/>
      <c r="DV154" s="309"/>
      <c r="DW154" s="309"/>
      <c r="DX154" s="309"/>
      <c r="DY154" s="309"/>
      <c r="DZ154" s="309"/>
      <c r="EA154" s="309"/>
      <c r="EB154" s="309"/>
      <c r="EC154" s="309"/>
      <c r="ED154" s="309"/>
      <c r="EE154" s="309"/>
      <c r="EF154" s="309"/>
      <c r="EG154" s="309"/>
      <c r="EH154" s="309"/>
      <c r="EI154" s="309"/>
      <c r="EJ154" s="309"/>
      <c r="EK154" s="309"/>
      <c r="EL154" s="309"/>
      <c r="EM154" s="309"/>
      <c r="EN154" s="309"/>
      <c r="EO154" s="309"/>
      <c r="EP154" s="309"/>
      <c r="EQ154" s="309"/>
      <c r="ER154" s="309"/>
      <c r="ES154" s="309"/>
      <c r="ET154" s="309"/>
      <c r="EU154" s="309"/>
      <c r="EV154" s="309"/>
      <c r="EW154" s="309"/>
      <c r="EX154" s="309"/>
      <c r="EY154" s="309"/>
      <c r="EZ154" s="309"/>
      <c r="FA154" s="309"/>
      <c r="FB154" s="309"/>
      <c r="FC154" s="309"/>
      <c r="FD154" s="309"/>
      <c r="FE154" s="309"/>
      <c r="FF154" s="309"/>
      <c r="FG154" s="309"/>
      <c r="FH154" s="309"/>
      <c r="FI154" s="309"/>
      <c r="FJ154" s="309"/>
      <c r="FK154" s="309"/>
      <c r="FL154" s="309"/>
      <c r="FM154" s="309"/>
      <c r="FN154" s="309"/>
      <c r="FO154" s="309"/>
      <c r="FP154" s="309"/>
      <c r="FQ154" s="309"/>
      <c r="FR154" s="309"/>
      <c r="FS154" s="309"/>
      <c r="FT154" s="309"/>
      <c r="FU154" s="309"/>
      <c r="FV154" s="309"/>
      <c r="FW154" s="309"/>
      <c r="FX154" s="309"/>
      <c r="FY154" s="309"/>
      <c r="FZ154" s="309"/>
      <c r="GA154" s="309"/>
      <c r="GB154" s="309"/>
      <c r="GC154" s="309"/>
      <c r="GD154" s="309"/>
      <c r="GE154" s="309"/>
      <c r="GF154" s="309"/>
      <c r="GG154" s="309"/>
      <c r="GH154" s="309"/>
      <c r="GI154" s="309"/>
      <c r="GJ154" s="309"/>
      <c r="GK154" s="309"/>
      <c r="GL154" s="309"/>
      <c r="GM154" s="309"/>
      <c r="GN154" s="309"/>
      <c r="GO154" s="309"/>
      <c r="GP154" s="309"/>
      <c r="GQ154" s="309"/>
      <c r="GR154" s="309"/>
      <c r="GS154" s="309"/>
      <c r="GT154" s="309"/>
      <c r="GU154" s="309"/>
      <c r="GV154" s="309"/>
      <c r="GW154" s="309"/>
      <c r="GX154" s="309"/>
      <c r="GY154" s="309"/>
      <c r="GZ154" s="309"/>
      <c r="HA154" s="309"/>
      <c r="HB154" s="309"/>
      <c r="HC154" s="309"/>
      <c r="HD154" s="309"/>
      <c r="HE154" s="309"/>
      <c r="HF154" s="309"/>
      <c r="HG154" s="309"/>
      <c r="HH154" s="309"/>
      <c r="HI154" s="309"/>
      <c r="HJ154" s="309"/>
      <c r="HK154" s="309"/>
      <c r="HL154" s="309"/>
      <c r="HM154" s="309"/>
      <c r="HN154" s="309"/>
      <c r="HO154" s="309"/>
      <c r="HP154" s="309"/>
      <c r="HQ154" s="309"/>
      <c r="HR154" s="309"/>
      <c r="HS154" s="309"/>
      <c r="HT154" s="309"/>
      <c r="HU154" s="309"/>
      <c r="HV154" s="309"/>
      <c r="HW154" s="309"/>
      <c r="HX154" s="309"/>
      <c r="HY154" s="309"/>
      <c r="HZ154" s="309"/>
      <c r="IA154" s="309"/>
      <c r="IB154" s="309"/>
      <c r="IC154" s="309"/>
      <c r="ID154" s="309"/>
      <c r="IE154" s="309"/>
    </row>
    <row r="155" spans="1:239" ht="25.5">
      <c r="A155" s="310">
        <v>147</v>
      </c>
      <c r="B155" s="360">
        <v>43029</v>
      </c>
      <c r="C155" s="307" t="s">
        <v>517</v>
      </c>
      <c r="D155" s="310" t="s">
        <v>626</v>
      </c>
      <c r="E155" s="310">
        <v>0.4</v>
      </c>
      <c r="F155" s="355" t="s">
        <v>711</v>
      </c>
      <c r="G155" s="310" t="s">
        <v>516</v>
      </c>
      <c r="H155" s="310">
        <v>0.33</v>
      </c>
      <c r="I155" s="310">
        <v>1</v>
      </c>
      <c r="J155" s="310">
        <v>13.12</v>
      </c>
      <c r="K155" s="310">
        <v>1</v>
      </c>
      <c r="L155" s="348"/>
      <c r="M155" s="346">
        <f t="shared" si="8"/>
        <v>0.33</v>
      </c>
      <c r="N155" s="346">
        <f t="shared" si="9"/>
        <v>4.3296</v>
      </c>
      <c r="O155" s="348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  <c r="DA155" s="309"/>
      <c r="DB155" s="309"/>
      <c r="DC155" s="309"/>
      <c r="DD155" s="309"/>
      <c r="DE155" s="309"/>
      <c r="DF155" s="309"/>
      <c r="DG155" s="309"/>
      <c r="DH155" s="309"/>
      <c r="DI155" s="309"/>
      <c r="DJ155" s="309"/>
      <c r="DK155" s="309"/>
      <c r="DL155" s="309"/>
      <c r="DM155" s="309"/>
      <c r="DN155" s="309"/>
      <c r="DO155" s="309"/>
      <c r="DP155" s="309"/>
      <c r="DQ155" s="309"/>
      <c r="DR155" s="309"/>
      <c r="DS155" s="309"/>
      <c r="DT155" s="309"/>
      <c r="DU155" s="309"/>
      <c r="DV155" s="309"/>
      <c r="DW155" s="309"/>
      <c r="DX155" s="309"/>
      <c r="DY155" s="309"/>
      <c r="DZ155" s="309"/>
      <c r="EA155" s="309"/>
      <c r="EB155" s="309"/>
      <c r="EC155" s="309"/>
      <c r="ED155" s="309"/>
      <c r="EE155" s="309"/>
      <c r="EF155" s="309"/>
      <c r="EG155" s="309"/>
      <c r="EH155" s="309"/>
      <c r="EI155" s="309"/>
      <c r="EJ155" s="309"/>
      <c r="EK155" s="309"/>
      <c r="EL155" s="309"/>
      <c r="EM155" s="309"/>
      <c r="EN155" s="309"/>
      <c r="EO155" s="309"/>
      <c r="EP155" s="309"/>
      <c r="EQ155" s="309"/>
      <c r="ER155" s="309"/>
      <c r="ES155" s="309"/>
      <c r="ET155" s="309"/>
      <c r="EU155" s="309"/>
      <c r="EV155" s="309"/>
      <c r="EW155" s="309"/>
      <c r="EX155" s="309"/>
      <c r="EY155" s="309"/>
      <c r="EZ155" s="309"/>
      <c r="FA155" s="309"/>
      <c r="FB155" s="309"/>
      <c r="FC155" s="309"/>
      <c r="FD155" s="309"/>
      <c r="FE155" s="309"/>
      <c r="FF155" s="309"/>
      <c r="FG155" s="309"/>
      <c r="FH155" s="309"/>
      <c r="FI155" s="309"/>
      <c r="FJ155" s="309"/>
      <c r="FK155" s="309"/>
      <c r="FL155" s="309"/>
      <c r="FM155" s="309"/>
      <c r="FN155" s="309"/>
      <c r="FO155" s="309"/>
      <c r="FP155" s="309"/>
      <c r="FQ155" s="309"/>
      <c r="FR155" s="309"/>
      <c r="FS155" s="309"/>
      <c r="FT155" s="309"/>
      <c r="FU155" s="309"/>
      <c r="FV155" s="309"/>
      <c r="FW155" s="309"/>
      <c r="FX155" s="309"/>
      <c r="FY155" s="309"/>
      <c r="FZ155" s="309"/>
      <c r="GA155" s="309"/>
      <c r="GB155" s="309"/>
      <c r="GC155" s="309"/>
      <c r="GD155" s="309"/>
      <c r="GE155" s="309"/>
      <c r="GF155" s="309"/>
      <c r="GG155" s="309"/>
      <c r="GH155" s="309"/>
      <c r="GI155" s="309"/>
      <c r="GJ155" s="309"/>
      <c r="GK155" s="309"/>
      <c r="GL155" s="309"/>
      <c r="GM155" s="309"/>
      <c r="GN155" s="309"/>
      <c r="GO155" s="309"/>
      <c r="GP155" s="309"/>
      <c r="GQ155" s="309"/>
      <c r="GR155" s="309"/>
      <c r="GS155" s="309"/>
      <c r="GT155" s="309"/>
      <c r="GU155" s="309"/>
      <c r="GV155" s="309"/>
      <c r="GW155" s="309"/>
      <c r="GX155" s="309"/>
      <c r="GY155" s="309"/>
      <c r="GZ155" s="309"/>
      <c r="HA155" s="309"/>
      <c r="HB155" s="309"/>
      <c r="HC155" s="309"/>
      <c r="HD155" s="309"/>
      <c r="HE155" s="309"/>
      <c r="HF155" s="309"/>
      <c r="HG155" s="309"/>
      <c r="HH155" s="309"/>
      <c r="HI155" s="309"/>
      <c r="HJ155" s="309"/>
      <c r="HK155" s="309"/>
      <c r="HL155" s="309"/>
      <c r="HM155" s="309"/>
      <c r="HN155" s="309"/>
      <c r="HO155" s="309"/>
      <c r="HP155" s="309"/>
      <c r="HQ155" s="309"/>
      <c r="HR155" s="309"/>
      <c r="HS155" s="309"/>
      <c r="HT155" s="309"/>
      <c r="HU155" s="309"/>
      <c r="HV155" s="309"/>
      <c r="HW155" s="309"/>
      <c r="HX155" s="309"/>
      <c r="HY155" s="309"/>
      <c r="HZ155" s="309"/>
      <c r="IA155" s="309"/>
      <c r="IB155" s="309"/>
      <c r="IC155" s="309"/>
      <c r="ID155" s="309"/>
      <c r="IE155" s="309"/>
    </row>
    <row r="156" spans="1:239" ht="25.5">
      <c r="A156" s="310">
        <v>148</v>
      </c>
      <c r="B156" s="360">
        <v>43034</v>
      </c>
      <c r="C156" s="307" t="s">
        <v>517</v>
      </c>
      <c r="D156" s="310" t="s">
        <v>653</v>
      </c>
      <c r="E156" s="310">
        <v>0.4</v>
      </c>
      <c r="F156" s="355" t="s">
        <v>711</v>
      </c>
      <c r="G156" s="310" t="s">
        <v>516</v>
      </c>
      <c r="H156" s="310">
        <v>2.17</v>
      </c>
      <c r="I156" s="310">
        <v>1</v>
      </c>
      <c r="J156" s="310"/>
      <c r="K156" s="310">
        <v>1</v>
      </c>
      <c r="L156" s="348"/>
      <c r="M156" s="346">
        <f t="shared" si="8"/>
        <v>2.17</v>
      </c>
      <c r="N156" s="346">
        <f t="shared" si="9"/>
        <v>0</v>
      </c>
      <c r="O156" s="348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  <c r="BX156" s="309"/>
      <c r="BY156" s="309"/>
      <c r="BZ156" s="309"/>
      <c r="CA156" s="309"/>
      <c r="CB156" s="309"/>
      <c r="CC156" s="309"/>
      <c r="CD156" s="309"/>
      <c r="CE156" s="309"/>
      <c r="CF156" s="309"/>
      <c r="CG156" s="309"/>
      <c r="CH156" s="309"/>
      <c r="CI156" s="309"/>
      <c r="CJ156" s="309"/>
      <c r="CK156" s="309"/>
      <c r="CL156" s="309"/>
      <c r="CM156" s="309"/>
      <c r="CN156" s="309"/>
      <c r="CO156" s="309"/>
      <c r="CP156" s="309"/>
      <c r="CQ156" s="309"/>
      <c r="CR156" s="309"/>
      <c r="CS156" s="309"/>
      <c r="CT156" s="309"/>
      <c r="CU156" s="309"/>
      <c r="CV156" s="309"/>
      <c r="CW156" s="309"/>
      <c r="CX156" s="309"/>
      <c r="CY156" s="309"/>
      <c r="CZ156" s="309"/>
      <c r="DA156" s="309"/>
      <c r="DB156" s="309"/>
      <c r="DC156" s="309"/>
      <c r="DD156" s="309"/>
      <c r="DE156" s="309"/>
      <c r="DF156" s="309"/>
      <c r="DG156" s="309"/>
      <c r="DH156" s="309"/>
      <c r="DI156" s="309"/>
      <c r="DJ156" s="309"/>
      <c r="DK156" s="309"/>
      <c r="DL156" s="309"/>
      <c r="DM156" s="309"/>
      <c r="DN156" s="309"/>
      <c r="DO156" s="309"/>
      <c r="DP156" s="309"/>
      <c r="DQ156" s="309"/>
      <c r="DR156" s="309"/>
      <c r="DS156" s="309"/>
      <c r="DT156" s="309"/>
      <c r="DU156" s="309"/>
      <c r="DV156" s="309"/>
      <c r="DW156" s="309"/>
      <c r="DX156" s="309"/>
      <c r="DY156" s="309"/>
      <c r="DZ156" s="309"/>
      <c r="EA156" s="309"/>
      <c r="EB156" s="309"/>
      <c r="EC156" s="309"/>
      <c r="ED156" s="309"/>
      <c r="EE156" s="309"/>
      <c r="EF156" s="309"/>
      <c r="EG156" s="309"/>
      <c r="EH156" s="309"/>
      <c r="EI156" s="309"/>
      <c r="EJ156" s="309"/>
      <c r="EK156" s="309"/>
      <c r="EL156" s="309"/>
      <c r="EM156" s="309"/>
      <c r="EN156" s="309"/>
      <c r="EO156" s="309"/>
      <c r="EP156" s="309"/>
      <c r="EQ156" s="309"/>
      <c r="ER156" s="309"/>
      <c r="ES156" s="309"/>
      <c r="ET156" s="309"/>
      <c r="EU156" s="309"/>
      <c r="EV156" s="309"/>
      <c r="EW156" s="309"/>
      <c r="EX156" s="309"/>
      <c r="EY156" s="309"/>
      <c r="EZ156" s="309"/>
      <c r="FA156" s="309"/>
      <c r="FB156" s="309"/>
      <c r="FC156" s="309"/>
      <c r="FD156" s="309"/>
      <c r="FE156" s="309"/>
      <c r="FF156" s="309"/>
      <c r="FG156" s="309"/>
      <c r="FH156" s="309"/>
      <c r="FI156" s="309"/>
      <c r="FJ156" s="309"/>
      <c r="FK156" s="309"/>
      <c r="FL156" s="309"/>
      <c r="FM156" s="309"/>
      <c r="FN156" s="309"/>
      <c r="FO156" s="309"/>
      <c r="FP156" s="309"/>
      <c r="FQ156" s="309"/>
      <c r="FR156" s="309"/>
      <c r="FS156" s="309"/>
      <c r="FT156" s="309"/>
      <c r="FU156" s="309"/>
      <c r="FV156" s="309"/>
      <c r="FW156" s="309"/>
      <c r="FX156" s="309"/>
      <c r="FY156" s="309"/>
      <c r="FZ156" s="309"/>
      <c r="GA156" s="309"/>
      <c r="GB156" s="309"/>
      <c r="GC156" s="309"/>
      <c r="GD156" s="309"/>
      <c r="GE156" s="309"/>
      <c r="GF156" s="309"/>
      <c r="GG156" s="309"/>
      <c r="GH156" s="309"/>
      <c r="GI156" s="309"/>
      <c r="GJ156" s="309"/>
      <c r="GK156" s="309"/>
      <c r="GL156" s="309"/>
      <c r="GM156" s="309"/>
      <c r="GN156" s="309"/>
      <c r="GO156" s="309"/>
      <c r="GP156" s="309"/>
      <c r="GQ156" s="309"/>
      <c r="GR156" s="309"/>
      <c r="GS156" s="309"/>
      <c r="GT156" s="309"/>
      <c r="GU156" s="309"/>
      <c r="GV156" s="309"/>
      <c r="GW156" s="309"/>
      <c r="GX156" s="309"/>
      <c r="GY156" s="309"/>
      <c r="GZ156" s="309"/>
      <c r="HA156" s="309"/>
      <c r="HB156" s="309"/>
      <c r="HC156" s="309"/>
      <c r="HD156" s="309"/>
      <c r="HE156" s="309"/>
      <c r="HF156" s="309"/>
      <c r="HG156" s="309"/>
      <c r="HH156" s="309"/>
      <c r="HI156" s="309"/>
      <c r="HJ156" s="309"/>
      <c r="HK156" s="309"/>
      <c r="HL156" s="309"/>
      <c r="HM156" s="309"/>
      <c r="HN156" s="309"/>
      <c r="HO156" s="309"/>
      <c r="HP156" s="309"/>
      <c r="HQ156" s="309"/>
      <c r="HR156" s="309"/>
      <c r="HS156" s="309"/>
      <c r="HT156" s="309"/>
      <c r="HU156" s="309"/>
      <c r="HV156" s="309"/>
      <c r="HW156" s="309"/>
      <c r="HX156" s="309"/>
      <c r="HY156" s="309"/>
      <c r="HZ156" s="309"/>
      <c r="IA156" s="309"/>
      <c r="IB156" s="309"/>
      <c r="IC156" s="309"/>
      <c r="ID156" s="309"/>
      <c r="IE156" s="309"/>
    </row>
    <row r="157" spans="1:239" ht="25.5">
      <c r="A157" s="310">
        <v>149</v>
      </c>
      <c r="B157" s="360">
        <v>43010</v>
      </c>
      <c r="C157" s="307" t="s">
        <v>517</v>
      </c>
      <c r="D157" s="310" t="s">
        <v>654</v>
      </c>
      <c r="E157" s="310">
        <v>0.4</v>
      </c>
      <c r="F157" s="355" t="s">
        <v>711</v>
      </c>
      <c r="G157" s="310" t="s">
        <v>522</v>
      </c>
      <c r="H157" s="310">
        <v>4.5</v>
      </c>
      <c r="I157" s="310">
        <v>1</v>
      </c>
      <c r="J157" s="310">
        <v>25</v>
      </c>
      <c r="K157" s="310">
        <v>1</v>
      </c>
      <c r="L157" s="348"/>
      <c r="M157" s="346">
        <f t="shared" si="8"/>
        <v>4.5</v>
      </c>
      <c r="N157" s="346">
        <f t="shared" si="9"/>
        <v>112.5</v>
      </c>
      <c r="O157" s="348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  <c r="CD157" s="309"/>
      <c r="CE157" s="309"/>
      <c r="CF157" s="309"/>
      <c r="CG157" s="309"/>
      <c r="CH157" s="309"/>
      <c r="CI157" s="309"/>
      <c r="CJ157" s="309"/>
      <c r="CK157" s="309"/>
      <c r="CL157" s="309"/>
      <c r="CM157" s="309"/>
      <c r="CN157" s="309"/>
      <c r="CO157" s="309"/>
      <c r="CP157" s="309"/>
      <c r="CQ157" s="309"/>
      <c r="CR157" s="309"/>
      <c r="CS157" s="309"/>
      <c r="CT157" s="309"/>
      <c r="CU157" s="309"/>
      <c r="CV157" s="309"/>
      <c r="CW157" s="309"/>
      <c r="CX157" s="309"/>
      <c r="CY157" s="309"/>
      <c r="CZ157" s="309"/>
      <c r="DA157" s="309"/>
      <c r="DB157" s="309"/>
      <c r="DC157" s="309"/>
      <c r="DD157" s="309"/>
      <c r="DE157" s="309"/>
      <c r="DF157" s="309"/>
      <c r="DG157" s="309"/>
      <c r="DH157" s="309"/>
      <c r="DI157" s="309"/>
      <c r="DJ157" s="309"/>
      <c r="DK157" s="309"/>
      <c r="DL157" s="309"/>
      <c r="DM157" s="309"/>
      <c r="DN157" s="309"/>
      <c r="DO157" s="309"/>
      <c r="DP157" s="309"/>
      <c r="DQ157" s="309"/>
      <c r="DR157" s="309"/>
      <c r="DS157" s="309"/>
      <c r="DT157" s="309"/>
      <c r="DU157" s="309"/>
      <c r="DV157" s="309"/>
      <c r="DW157" s="309"/>
      <c r="DX157" s="309"/>
      <c r="DY157" s="309"/>
      <c r="DZ157" s="309"/>
      <c r="EA157" s="309"/>
      <c r="EB157" s="309"/>
      <c r="EC157" s="309"/>
      <c r="ED157" s="309"/>
      <c r="EE157" s="309"/>
      <c r="EF157" s="309"/>
      <c r="EG157" s="309"/>
      <c r="EH157" s="309"/>
      <c r="EI157" s="309"/>
      <c r="EJ157" s="309"/>
      <c r="EK157" s="309"/>
      <c r="EL157" s="309"/>
      <c r="EM157" s="309"/>
      <c r="EN157" s="309"/>
      <c r="EO157" s="309"/>
      <c r="EP157" s="309"/>
      <c r="EQ157" s="309"/>
      <c r="ER157" s="309"/>
      <c r="ES157" s="309"/>
      <c r="ET157" s="309"/>
      <c r="EU157" s="309"/>
      <c r="EV157" s="309"/>
      <c r="EW157" s="309"/>
      <c r="EX157" s="309"/>
      <c r="EY157" s="309"/>
      <c r="EZ157" s="309"/>
      <c r="FA157" s="309"/>
      <c r="FB157" s="309"/>
      <c r="FC157" s="309"/>
      <c r="FD157" s="309"/>
      <c r="FE157" s="309"/>
      <c r="FF157" s="309"/>
      <c r="FG157" s="309"/>
      <c r="FH157" s="309"/>
      <c r="FI157" s="309"/>
      <c r="FJ157" s="309"/>
      <c r="FK157" s="309"/>
      <c r="FL157" s="309"/>
      <c r="FM157" s="309"/>
      <c r="FN157" s="309"/>
      <c r="FO157" s="309"/>
      <c r="FP157" s="309"/>
      <c r="FQ157" s="309"/>
      <c r="FR157" s="309"/>
      <c r="FS157" s="309"/>
      <c r="FT157" s="309"/>
      <c r="FU157" s="309"/>
      <c r="FV157" s="309"/>
      <c r="FW157" s="309"/>
      <c r="FX157" s="309"/>
      <c r="FY157" s="309"/>
      <c r="FZ157" s="309"/>
      <c r="GA157" s="309"/>
      <c r="GB157" s="309"/>
      <c r="GC157" s="309"/>
      <c r="GD157" s="309"/>
      <c r="GE157" s="309"/>
      <c r="GF157" s="309"/>
      <c r="GG157" s="309"/>
      <c r="GH157" s="309"/>
      <c r="GI157" s="309"/>
      <c r="GJ157" s="309"/>
      <c r="GK157" s="309"/>
      <c r="GL157" s="309"/>
      <c r="GM157" s="309"/>
      <c r="GN157" s="309"/>
      <c r="GO157" s="309"/>
      <c r="GP157" s="309"/>
      <c r="GQ157" s="309"/>
      <c r="GR157" s="309"/>
      <c r="GS157" s="309"/>
      <c r="GT157" s="309"/>
      <c r="GU157" s="309"/>
      <c r="GV157" s="309"/>
      <c r="GW157" s="309"/>
      <c r="GX157" s="309"/>
      <c r="GY157" s="309"/>
      <c r="GZ157" s="309"/>
      <c r="HA157" s="309"/>
      <c r="HB157" s="309"/>
      <c r="HC157" s="309"/>
      <c r="HD157" s="309"/>
      <c r="HE157" s="309"/>
      <c r="HF157" s="309"/>
      <c r="HG157" s="309"/>
      <c r="HH157" s="309"/>
      <c r="HI157" s="309"/>
      <c r="HJ157" s="309"/>
      <c r="HK157" s="309"/>
      <c r="HL157" s="309"/>
      <c r="HM157" s="309"/>
      <c r="HN157" s="309"/>
      <c r="HO157" s="309"/>
      <c r="HP157" s="309"/>
      <c r="HQ157" s="309"/>
      <c r="HR157" s="309"/>
      <c r="HS157" s="309"/>
      <c r="HT157" s="309"/>
      <c r="HU157" s="309"/>
      <c r="HV157" s="309"/>
      <c r="HW157" s="309"/>
      <c r="HX157" s="309"/>
      <c r="HY157" s="309"/>
      <c r="HZ157" s="309"/>
      <c r="IA157" s="309"/>
      <c r="IB157" s="309"/>
      <c r="IC157" s="309"/>
      <c r="ID157" s="309"/>
      <c r="IE157" s="309"/>
    </row>
    <row r="158" spans="1:239" ht="25.5">
      <c r="A158" s="310">
        <v>150</v>
      </c>
      <c r="B158" s="360">
        <v>43011</v>
      </c>
      <c r="C158" s="307" t="s">
        <v>517</v>
      </c>
      <c r="D158" s="310" t="s">
        <v>655</v>
      </c>
      <c r="E158" s="310">
        <v>0.4</v>
      </c>
      <c r="F158" s="355" t="s">
        <v>711</v>
      </c>
      <c r="G158" s="310" t="s">
        <v>522</v>
      </c>
      <c r="H158" s="310">
        <v>3.67</v>
      </c>
      <c r="I158" s="310">
        <v>1</v>
      </c>
      <c r="J158" s="310">
        <v>13</v>
      </c>
      <c r="K158" s="310">
        <v>1</v>
      </c>
      <c r="L158" s="348"/>
      <c r="M158" s="346">
        <f t="shared" si="8"/>
        <v>3.67</v>
      </c>
      <c r="N158" s="346">
        <f t="shared" si="9"/>
        <v>47.71</v>
      </c>
      <c r="O158" s="348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09"/>
      <c r="BR158" s="309"/>
      <c r="BS158" s="309"/>
      <c r="BT158" s="309"/>
      <c r="BU158" s="309"/>
      <c r="BV158" s="309"/>
      <c r="BW158" s="309"/>
      <c r="BX158" s="309"/>
      <c r="BY158" s="309"/>
      <c r="BZ158" s="309"/>
      <c r="CA158" s="309"/>
      <c r="CB158" s="309"/>
      <c r="CC158" s="309"/>
      <c r="CD158" s="309"/>
      <c r="CE158" s="309"/>
      <c r="CF158" s="309"/>
      <c r="CG158" s="309"/>
      <c r="CH158" s="309"/>
      <c r="CI158" s="309"/>
      <c r="CJ158" s="309"/>
      <c r="CK158" s="309"/>
      <c r="CL158" s="309"/>
      <c r="CM158" s="309"/>
      <c r="CN158" s="309"/>
      <c r="CO158" s="309"/>
      <c r="CP158" s="309"/>
      <c r="CQ158" s="309"/>
      <c r="CR158" s="309"/>
      <c r="CS158" s="309"/>
      <c r="CT158" s="309"/>
      <c r="CU158" s="309"/>
      <c r="CV158" s="309"/>
      <c r="CW158" s="309"/>
      <c r="CX158" s="309"/>
      <c r="CY158" s="309"/>
      <c r="CZ158" s="309"/>
      <c r="DA158" s="309"/>
      <c r="DB158" s="309"/>
      <c r="DC158" s="309"/>
      <c r="DD158" s="309"/>
      <c r="DE158" s="309"/>
      <c r="DF158" s="309"/>
      <c r="DG158" s="309"/>
      <c r="DH158" s="309"/>
      <c r="DI158" s="309"/>
      <c r="DJ158" s="309"/>
      <c r="DK158" s="309"/>
      <c r="DL158" s="309"/>
      <c r="DM158" s="309"/>
      <c r="DN158" s="309"/>
      <c r="DO158" s="309"/>
      <c r="DP158" s="309"/>
      <c r="DQ158" s="309"/>
      <c r="DR158" s="309"/>
      <c r="DS158" s="309"/>
      <c r="DT158" s="309"/>
      <c r="DU158" s="309"/>
      <c r="DV158" s="309"/>
      <c r="DW158" s="309"/>
      <c r="DX158" s="309"/>
      <c r="DY158" s="309"/>
      <c r="DZ158" s="309"/>
      <c r="EA158" s="309"/>
      <c r="EB158" s="309"/>
      <c r="EC158" s="309"/>
      <c r="ED158" s="309"/>
      <c r="EE158" s="309"/>
      <c r="EF158" s="309"/>
      <c r="EG158" s="309"/>
      <c r="EH158" s="309"/>
      <c r="EI158" s="309"/>
      <c r="EJ158" s="309"/>
      <c r="EK158" s="309"/>
      <c r="EL158" s="309"/>
      <c r="EM158" s="309"/>
      <c r="EN158" s="309"/>
      <c r="EO158" s="309"/>
      <c r="EP158" s="309"/>
      <c r="EQ158" s="309"/>
      <c r="ER158" s="309"/>
      <c r="ES158" s="309"/>
      <c r="ET158" s="309"/>
      <c r="EU158" s="309"/>
      <c r="EV158" s="309"/>
      <c r="EW158" s="309"/>
      <c r="EX158" s="309"/>
      <c r="EY158" s="309"/>
      <c r="EZ158" s="309"/>
      <c r="FA158" s="309"/>
      <c r="FB158" s="309"/>
      <c r="FC158" s="309"/>
      <c r="FD158" s="309"/>
      <c r="FE158" s="309"/>
      <c r="FF158" s="309"/>
      <c r="FG158" s="309"/>
      <c r="FH158" s="309"/>
      <c r="FI158" s="309"/>
      <c r="FJ158" s="309"/>
      <c r="FK158" s="309"/>
      <c r="FL158" s="309"/>
      <c r="FM158" s="309"/>
      <c r="FN158" s="309"/>
      <c r="FO158" s="309"/>
      <c r="FP158" s="309"/>
      <c r="FQ158" s="309"/>
      <c r="FR158" s="309"/>
      <c r="FS158" s="309"/>
      <c r="FT158" s="309"/>
      <c r="FU158" s="309"/>
      <c r="FV158" s="309"/>
      <c r="FW158" s="309"/>
      <c r="FX158" s="309"/>
      <c r="FY158" s="309"/>
      <c r="FZ158" s="309"/>
      <c r="GA158" s="309"/>
      <c r="GB158" s="309"/>
      <c r="GC158" s="309"/>
      <c r="GD158" s="309"/>
      <c r="GE158" s="309"/>
      <c r="GF158" s="309"/>
      <c r="GG158" s="309"/>
      <c r="GH158" s="309"/>
      <c r="GI158" s="309"/>
      <c r="GJ158" s="309"/>
      <c r="GK158" s="309"/>
      <c r="GL158" s="309"/>
      <c r="GM158" s="309"/>
      <c r="GN158" s="309"/>
      <c r="GO158" s="309"/>
      <c r="GP158" s="309"/>
      <c r="GQ158" s="309"/>
      <c r="GR158" s="309"/>
      <c r="GS158" s="309"/>
      <c r="GT158" s="309"/>
      <c r="GU158" s="309"/>
      <c r="GV158" s="309"/>
      <c r="GW158" s="309"/>
      <c r="GX158" s="309"/>
      <c r="GY158" s="309"/>
      <c r="GZ158" s="309"/>
      <c r="HA158" s="309"/>
      <c r="HB158" s="309"/>
      <c r="HC158" s="309"/>
      <c r="HD158" s="309"/>
      <c r="HE158" s="309"/>
      <c r="HF158" s="309"/>
      <c r="HG158" s="309"/>
      <c r="HH158" s="309"/>
      <c r="HI158" s="309"/>
      <c r="HJ158" s="309"/>
      <c r="HK158" s="309"/>
      <c r="HL158" s="309"/>
      <c r="HM158" s="309"/>
      <c r="HN158" s="309"/>
      <c r="HO158" s="309"/>
      <c r="HP158" s="309"/>
      <c r="HQ158" s="309"/>
      <c r="HR158" s="309"/>
      <c r="HS158" s="309"/>
      <c r="HT158" s="309"/>
      <c r="HU158" s="309"/>
      <c r="HV158" s="309"/>
      <c r="HW158" s="309"/>
      <c r="HX158" s="309"/>
      <c r="HY158" s="309"/>
      <c r="HZ158" s="309"/>
      <c r="IA158" s="309"/>
      <c r="IB158" s="309"/>
      <c r="IC158" s="309"/>
      <c r="ID158" s="309"/>
      <c r="IE158" s="309"/>
    </row>
    <row r="159" spans="1:239" ht="25.5">
      <c r="A159" s="310">
        <v>151</v>
      </c>
      <c r="B159" s="360">
        <v>43011</v>
      </c>
      <c r="C159" s="307" t="s">
        <v>517</v>
      </c>
      <c r="D159" s="310" t="s">
        <v>656</v>
      </c>
      <c r="E159" s="310">
        <v>0.4</v>
      </c>
      <c r="F159" s="355" t="s">
        <v>711</v>
      </c>
      <c r="G159" s="310" t="s">
        <v>522</v>
      </c>
      <c r="H159" s="310">
        <v>3.67</v>
      </c>
      <c r="I159" s="310">
        <v>1</v>
      </c>
      <c r="J159" s="310">
        <v>11</v>
      </c>
      <c r="K159" s="310">
        <v>1</v>
      </c>
      <c r="L159" s="348"/>
      <c r="M159" s="346">
        <f t="shared" si="8"/>
        <v>3.67</v>
      </c>
      <c r="N159" s="346">
        <f t="shared" si="9"/>
        <v>40.37</v>
      </c>
      <c r="O159" s="348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09"/>
      <c r="CN159" s="309"/>
      <c r="CO159" s="309"/>
      <c r="CP159" s="309"/>
      <c r="CQ159" s="309"/>
      <c r="CR159" s="309"/>
      <c r="CS159" s="309"/>
      <c r="CT159" s="309"/>
      <c r="CU159" s="309"/>
      <c r="CV159" s="309"/>
      <c r="CW159" s="309"/>
      <c r="CX159" s="309"/>
      <c r="CY159" s="309"/>
      <c r="CZ159" s="309"/>
      <c r="DA159" s="309"/>
      <c r="DB159" s="309"/>
      <c r="DC159" s="309"/>
      <c r="DD159" s="309"/>
      <c r="DE159" s="309"/>
      <c r="DF159" s="309"/>
      <c r="DG159" s="309"/>
      <c r="DH159" s="309"/>
      <c r="DI159" s="309"/>
      <c r="DJ159" s="309"/>
      <c r="DK159" s="309"/>
      <c r="DL159" s="309"/>
      <c r="DM159" s="309"/>
      <c r="DN159" s="309"/>
      <c r="DO159" s="309"/>
      <c r="DP159" s="309"/>
      <c r="DQ159" s="309"/>
      <c r="DR159" s="309"/>
      <c r="DS159" s="309"/>
      <c r="DT159" s="309"/>
      <c r="DU159" s="309"/>
      <c r="DV159" s="309"/>
      <c r="DW159" s="309"/>
      <c r="DX159" s="309"/>
      <c r="DY159" s="309"/>
      <c r="DZ159" s="309"/>
      <c r="EA159" s="309"/>
      <c r="EB159" s="309"/>
      <c r="EC159" s="309"/>
      <c r="ED159" s="309"/>
      <c r="EE159" s="309"/>
      <c r="EF159" s="309"/>
      <c r="EG159" s="309"/>
      <c r="EH159" s="309"/>
      <c r="EI159" s="309"/>
      <c r="EJ159" s="309"/>
      <c r="EK159" s="309"/>
      <c r="EL159" s="309"/>
      <c r="EM159" s="309"/>
      <c r="EN159" s="309"/>
      <c r="EO159" s="309"/>
      <c r="EP159" s="309"/>
      <c r="EQ159" s="309"/>
      <c r="ER159" s="309"/>
      <c r="ES159" s="309"/>
      <c r="ET159" s="309"/>
      <c r="EU159" s="309"/>
      <c r="EV159" s="309"/>
      <c r="EW159" s="309"/>
      <c r="EX159" s="309"/>
      <c r="EY159" s="309"/>
      <c r="EZ159" s="309"/>
      <c r="FA159" s="309"/>
      <c r="FB159" s="309"/>
      <c r="FC159" s="309"/>
      <c r="FD159" s="309"/>
      <c r="FE159" s="309"/>
      <c r="FF159" s="309"/>
      <c r="FG159" s="309"/>
      <c r="FH159" s="309"/>
      <c r="FI159" s="309"/>
      <c r="FJ159" s="309"/>
      <c r="FK159" s="309"/>
      <c r="FL159" s="309"/>
      <c r="FM159" s="309"/>
      <c r="FN159" s="309"/>
      <c r="FO159" s="309"/>
      <c r="FP159" s="309"/>
      <c r="FQ159" s="309"/>
      <c r="FR159" s="309"/>
      <c r="FS159" s="309"/>
      <c r="FT159" s="309"/>
      <c r="FU159" s="309"/>
      <c r="FV159" s="309"/>
      <c r="FW159" s="309"/>
      <c r="FX159" s="309"/>
      <c r="FY159" s="309"/>
      <c r="FZ159" s="309"/>
      <c r="GA159" s="309"/>
      <c r="GB159" s="309"/>
      <c r="GC159" s="309"/>
      <c r="GD159" s="309"/>
      <c r="GE159" s="309"/>
      <c r="GF159" s="309"/>
      <c r="GG159" s="309"/>
      <c r="GH159" s="309"/>
      <c r="GI159" s="309"/>
      <c r="GJ159" s="309"/>
      <c r="GK159" s="309"/>
      <c r="GL159" s="309"/>
      <c r="GM159" s="309"/>
      <c r="GN159" s="309"/>
      <c r="GO159" s="309"/>
      <c r="GP159" s="309"/>
      <c r="GQ159" s="309"/>
      <c r="GR159" s="309"/>
      <c r="GS159" s="309"/>
      <c r="GT159" s="309"/>
      <c r="GU159" s="309"/>
      <c r="GV159" s="309"/>
      <c r="GW159" s="309"/>
      <c r="GX159" s="309"/>
      <c r="GY159" s="309"/>
      <c r="GZ159" s="309"/>
      <c r="HA159" s="309"/>
      <c r="HB159" s="309"/>
      <c r="HC159" s="309"/>
      <c r="HD159" s="309"/>
      <c r="HE159" s="309"/>
      <c r="HF159" s="309"/>
      <c r="HG159" s="309"/>
      <c r="HH159" s="309"/>
      <c r="HI159" s="309"/>
      <c r="HJ159" s="309"/>
      <c r="HK159" s="309"/>
      <c r="HL159" s="309"/>
      <c r="HM159" s="309"/>
      <c r="HN159" s="309"/>
      <c r="HO159" s="309"/>
      <c r="HP159" s="309"/>
      <c r="HQ159" s="309"/>
      <c r="HR159" s="309"/>
      <c r="HS159" s="309"/>
      <c r="HT159" s="309"/>
      <c r="HU159" s="309"/>
      <c r="HV159" s="309"/>
      <c r="HW159" s="309"/>
      <c r="HX159" s="309"/>
      <c r="HY159" s="309"/>
      <c r="HZ159" s="309"/>
      <c r="IA159" s="309"/>
      <c r="IB159" s="309"/>
      <c r="IC159" s="309"/>
      <c r="ID159" s="309"/>
      <c r="IE159" s="309"/>
    </row>
    <row r="160" spans="1:239" ht="25.5">
      <c r="A160" s="310">
        <v>152</v>
      </c>
      <c r="B160" s="360">
        <v>43012</v>
      </c>
      <c r="C160" s="307" t="s">
        <v>517</v>
      </c>
      <c r="D160" s="310" t="s">
        <v>657</v>
      </c>
      <c r="E160" s="310">
        <v>0.4</v>
      </c>
      <c r="F160" s="355" t="s">
        <v>711</v>
      </c>
      <c r="G160" s="310" t="s">
        <v>522</v>
      </c>
      <c r="H160" s="310">
        <v>2.25</v>
      </c>
      <c r="I160" s="310">
        <v>1</v>
      </c>
      <c r="J160" s="310">
        <v>14</v>
      </c>
      <c r="K160" s="310">
        <v>1</v>
      </c>
      <c r="L160" s="348"/>
      <c r="M160" s="346">
        <f t="shared" si="8"/>
        <v>2.25</v>
      </c>
      <c r="N160" s="346">
        <f t="shared" si="9"/>
        <v>31.5</v>
      </c>
      <c r="O160" s="348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09"/>
      <c r="BZ160" s="309"/>
      <c r="CA160" s="309"/>
      <c r="CB160" s="309"/>
      <c r="CC160" s="309"/>
      <c r="CD160" s="309"/>
      <c r="CE160" s="309"/>
      <c r="CF160" s="309"/>
      <c r="CG160" s="309"/>
      <c r="CH160" s="309"/>
      <c r="CI160" s="309"/>
      <c r="CJ160" s="309"/>
      <c r="CK160" s="309"/>
      <c r="CL160" s="309"/>
      <c r="CM160" s="309"/>
      <c r="CN160" s="309"/>
      <c r="CO160" s="309"/>
      <c r="CP160" s="309"/>
      <c r="CQ160" s="309"/>
      <c r="CR160" s="309"/>
      <c r="CS160" s="309"/>
      <c r="CT160" s="309"/>
      <c r="CU160" s="309"/>
      <c r="CV160" s="309"/>
      <c r="CW160" s="309"/>
      <c r="CX160" s="309"/>
      <c r="CY160" s="309"/>
      <c r="CZ160" s="309"/>
      <c r="DA160" s="309"/>
      <c r="DB160" s="309"/>
      <c r="DC160" s="309"/>
      <c r="DD160" s="309"/>
      <c r="DE160" s="309"/>
      <c r="DF160" s="309"/>
      <c r="DG160" s="309"/>
      <c r="DH160" s="309"/>
      <c r="DI160" s="309"/>
      <c r="DJ160" s="309"/>
      <c r="DK160" s="309"/>
      <c r="DL160" s="309"/>
      <c r="DM160" s="309"/>
      <c r="DN160" s="309"/>
      <c r="DO160" s="309"/>
      <c r="DP160" s="309"/>
      <c r="DQ160" s="309"/>
      <c r="DR160" s="309"/>
      <c r="DS160" s="309"/>
      <c r="DT160" s="309"/>
      <c r="DU160" s="309"/>
      <c r="DV160" s="309"/>
      <c r="DW160" s="309"/>
      <c r="DX160" s="309"/>
      <c r="DY160" s="309"/>
      <c r="DZ160" s="309"/>
      <c r="EA160" s="309"/>
      <c r="EB160" s="309"/>
      <c r="EC160" s="309"/>
      <c r="ED160" s="309"/>
      <c r="EE160" s="309"/>
      <c r="EF160" s="309"/>
      <c r="EG160" s="309"/>
      <c r="EH160" s="309"/>
      <c r="EI160" s="309"/>
      <c r="EJ160" s="309"/>
      <c r="EK160" s="309"/>
      <c r="EL160" s="309"/>
      <c r="EM160" s="309"/>
      <c r="EN160" s="309"/>
      <c r="EO160" s="309"/>
      <c r="EP160" s="309"/>
      <c r="EQ160" s="309"/>
      <c r="ER160" s="309"/>
      <c r="ES160" s="309"/>
      <c r="ET160" s="309"/>
      <c r="EU160" s="309"/>
      <c r="EV160" s="309"/>
      <c r="EW160" s="309"/>
      <c r="EX160" s="309"/>
      <c r="EY160" s="309"/>
      <c r="EZ160" s="309"/>
      <c r="FA160" s="309"/>
      <c r="FB160" s="309"/>
      <c r="FC160" s="309"/>
      <c r="FD160" s="309"/>
      <c r="FE160" s="309"/>
      <c r="FF160" s="309"/>
      <c r="FG160" s="309"/>
      <c r="FH160" s="309"/>
      <c r="FI160" s="309"/>
      <c r="FJ160" s="309"/>
      <c r="FK160" s="309"/>
      <c r="FL160" s="309"/>
      <c r="FM160" s="309"/>
      <c r="FN160" s="309"/>
      <c r="FO160" s="309"/>
      <c r="FP160" s="309"/>
      <c r="FQ160" s="309"/>
      <c r="FR160" s="309"/>
      <c r="FS160" s="309"/>
      <c r="FT160" s="309"/>
      <c r="FU160" s="309"/>
      <c r="FV160" s="309"/>
      <c r="FW160" s="309"/>
      <c r="FX160" s="309"/>
      <c r="FY160" s="309"/>
      <c r="FZ160" s="309"/>
      <c r="GA160" s="309"/>
      <c r="GB160" s="309"/>
      <c r="GC160" s="309"/>
      <c r="GD160" s="309"/>
      <c r="GE160" s="309"/>
      <c r="GF160" s="309"/>
      <c r="GG160" s="309"/>
      <c r="GH160" s="309"/>
      <c r="GI160" s="309"/>
      <c r="GJ160" s="309"/>
      <c r="GK160" s="309"/>
      <c r="GL160" s="309"/>
      <c r="GM160" s="309"/>
      <c r="GN160" s="309"/>
      <c r="GO160" s="309"/>
      <c r="GP160" s="309"/>
      <c r="GQ160" s="309"/>
      <c r="GR160" s="309"/>
      <c r="GS160" s="309"/>
      <c r="GT160" s="309"/>
      <c r="GU160" s="309"/>
      <c r="GV160" s="309"/>
      <c r="GW160" s="309"/>
      <c r="GX160" s="309"/>
      <c r="GY160" s="309"/>
      <c r="GZ160" s="309"/>
      <c r="HA160" s="309"/>
      <c r="HB160" s="309"/>
      <c r="HC160" s="309"/>
      <c r="HD160" s="309"/>
      <c r="HE160" s="309"/>
      <c r="HF160" s="309"/>
      <c r="HG160" s="309"/>
      <c r="HH160" s="309"/>
      <c r="HI160" s="309"/>
      <c r="HJ160" s="309"/>
      <c r="HK160" s="309"/>
      <c r="HL160" s="309"/>
      <c r="HM160" s="309"/>
      <c r="HN160" s="309"/>
      <c r="HO160" s="309"/>
      <c r="HP160" s="309"/>
      <c r="HQ160" s="309"/>
      <c r="HR160" s="309"/>
      <c r="HS160" s="309"/>
      <c r="HT160" s="309"/>
      <c r="HU160" s="309"/>
      <c r="HV160" s="309"/>
      <c r="HW160" s="309"/>
      <c r="HX160" s="309"/>
      <c r="HY160" s="309"/>
      <c r="HZ160" s="309"/>
      <c r="IA160" s="309"/>
      <c r="IB160" s="309"/>
      <c r="IC160" s="309"/>
      <c r="ID160" s="309"/>
      <c r="IE160" s="309"/>
    </row>
    <row r="161" spans="1:239" ht="25.5">
      <c r="A161" s="310">
        <v>153</v>
      </c>
      <c r="B161" s="360">
        <v>43013</v>
      </c>
      <c r="C161" s="307" t="s">
        <v>517</v>
      </c>
      <c r="D161" s="310" t="s">
        <v>658</v>
      </c>
      <c r="E161" s="310">
        <v>0.4</v>
      </c>
      <c r="F161" s="355" t="s">
        <v>711</v>
      </c>
      <c r="G161" s="310" t="s">
        <v>522</v>
      </c>
      <c r="H161" s="310">
        <v>4.58</v>
      </c>
      <c r="I161" s="310">
        <v>1</v>
      </c>
      <c r="J161" s="310">
        <v>21</v>
      </c>
      <c r="K161" s="310">
        <v>1</v>
      </c>
      <c r="L161" s="348"/>
      <c r="M161" s="346">
        <f t="shared" si="8"/>
        <v>4.58</v>
      </c>
      <c r="N161" s="346">
        <f t="shared" si="9"/>
        <v>96.18</v>
      </c>
      <c r="O161" s="348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09"/>
      <c r="CF161" s="309"/>
      <c r="CG161" s="309"/>
      <c r="CH161" s="309"/>
      <c r="CI161" s="309"/>
      <c r="CJ161" s="309"/>
      <c r="CK161" s="309"/>
      <c r="CL161" s="309"/>
      <c r="CM161" s="309"/>
      <c r="CN161" s="309"/>
      <c r="CO161" s="309"/>
      <c r="CP161" s="309"/>
      <c r="CQ161" s="309"/>
      <c r="CR161" s="309"/>
      <c r="CS161" s="309"/>
      <c r="CT161" s="309"/>
      <c r="CU161" s="309"/>
      <c r="CV161" s="309"/>
      <c r="CW161" s="309"/>
      <c r="CX161" s="309"/>
      <c r="CY161" s="309"/>
      <c r="CZ161" s="309"/>
      <c r="DA161" s="309"/>
      <c r="DB161" s="309"/>
      <c r="DC161" s="309"/>
      <c r="DD161" s="309"/>
      <c r="DE161" s="309"/>
      <c r="DF161" s="309"/>
      <c r="DG161" s="309"/>
      <c r="DH161" s="309"/>
      <c r="DI161" s="309"/>
      <c r="DJ161" s="309"/>
      <c r="DK161" s="309"/>
      <c r="DL161" s="309"/>
      <c r="DM161" s="309"/>
      <c r="DN161" s="309"/>
      <c r="DO161" s="309"/>
      <c r="DP161" s="309"/>
      <c r="DQ161" s="309"/>
      <c r="DR161" s="309"/>
      <c r="DS161" s="309"/>
      <c r="DT161" s="309"/>
      <c r="DU161" s="309"/>
      <c r="DV161" s="309"/>
      <c r="DW161" s="309"/>
      <c r="DX161" s="309"/>
      <c r="DY161" s="309"/>
      <c r="DZ161" s="309"/>
      <c r="EA161" s="309"/>
      <c r="EB161" s="309"/>
      <c r="EC161" s="309"/>
      <c r="ED161" s="309"/>
      <c r="EE161" s="309"/>
      <c r="EF161" s="309"/>
      <c r="EG161" s="309"/>
      <c r="EH161" s="309"/>
      <c r="EI161" s="309"/>
      <c r="EJ161" s="309"/>
      <c r="EK161" s="309"/>
      <c r="EL161" s="309"/>
      <c r="EM161" s="309"/>
      <c r="EN161" s="309"/>
      <c r="EO161" s="309"/>
      <c r="EP161" s="309"/>
      <c r="EQ161" s="309"/>
      <c r="ER161" s="309"/>
      <c r="ES161" s="309"/>
      <c r="ET161" s="309"/>
      <c r="EU161" s="309"/>
      <c r="EV161" s="309"/>
      <c r="EW161" s="309"/>
      <c r="EX161" s="309"/>
      <c r="EY161" s="309"/>
      <c r="EZ161" s="309"/>
      <c r="FA161" s="309"/>
      <c r="FB161" s="309"/>
      <c r="FC161" s="309"/>
      <c r="FD161" s="309"/>
      <c r="FE161" s="309"/>
      <c r="FF161" s="309"/>
      <c r="FG161" s="309"/>
      <c r="FH161" s="309"/>
      <c r="FI161" s="309"/>
      <c r="FJ161" s="309"/>
      <c r="FK161" s="309"/>
      <c r="FL161" s="309"/>
      <c r="FM161" s="309"/>
      <c r="FN161" s="309"/>
      <c r="FO161" s="309"/>
      <c r="FP161" s="309"/>
      <c r="FQ161" s="309"/>
      <c r="FR161" s="309"/>
      <c r="FS161" s="309"/>
      <c r="FT161" s="309"/>
      <c r="FU161" s="309"/>
      <c r="FV161" s="309"/>
      <c r="FW161" s="309"/>
      <c r="FX161" s="309"/>
      <c r="FY161" s="309"/>
      <c r="FZ161" s="309"/>
      <c r="GA161" s="309"/>
      <c r="GB161" s="309"/>
      <c r="GC161" s="309"/>
      <c r="GD161" s="309"/>
      <c r="GE161" s="309"/>
      <c r="GF161" s="309"/>
      <c r="GG161" s="309"/>
      <c r="GH161" s="309"/>
      <c r="GI161" s="309"/>
      <c r="GJ161" s="309"/>
      <c r="GK161" s="309"/>
      <c r="GL161" s="309"/>
      <c r="GM161" s="309"/>
      <c r="GN161" s="309"/>
      <c r="GO161" s="309"/>
      <c r="GP161" s="309"/>
      <c r="GQ161" s="309"/>
      <c r="GR161" s="309"/>
      <c r="GS161" s="309"/>
      <c r="GT161" s="309"/>
      <c r="GU161" s="309"/>
      <c r="GV161" s="309"/>
      <c r="GW161" s="309"/>
      <c r="GX161" s="309"/>
      <c r="GY161" s="309"/>
      <c r="GZ161" s="309"/>
      <c r="HA161" s="309"/>
      <c r="HB161" s="309"/>
      <c r="HC161" s="309"/>
      <c r="HD161" s="309"/>
      <c r="HE161" s="309"/>
      <c r="HF161" s="309"/>
      <c r="HG161" s="309"/>
      <c r="HH161" s="309"/>
      <c r="HI161" s="309"/>
      <c r="HJ161" s="309"/>
      <c r="HK161" s="309"/>
      <c r="HL161" s="309"/>
      <c r="HM161" s="309"/>
      <c r="HN161" s="309"/>
      <c r="HO161" s="309"/>
      <c r="HP161" s="309"/>
      <c r="HQ161" s="309"/>
      <c r="HR161" s="309"/>
      <c r="HS161" s="309"/>
      <c r="HT161" s="309"/>
      <c r="HU161" s="309"/>
      <c r="HV161" s="309"/>
      <c r="HW161" s="309"/>
      <c r="HX161" s="309"/>
      <c r="HY161" s="309"/>
      <c r="HZ161" s="309"/>
      <c r="IA161" s="309"/>
      <c r="IB161" s="309"/>
      <c r="IC161" s="309"/>
      <c r="ID161" s="309"/>
      <c r="IE161" s="309"/>
    </row>
    <row r="162" spans="1:239" ht="25.5">
      <c r="A162" s="310">
        <v>154</v>
      </c>
      <c r="B162" s="360">
        <v>43014</v>
      </c>
      <c r="C162" s="307" t="s">
        <v>517</v>
      </c>
      <c r="D162" s="310" t="s">
        <v>659</v>
      </c>
      <c r="E162" s="310">
        <v>0.4</v>
      </c>
      <c r="F162" s="355" t="s">
        <v>711</v>
      </c>
      <c r="G162" s="310" t="s">
        <v>522</v>
      </c>
      <c r="H162" s="310">
        <v>5</v>
      </c>
      <c r="I162" s="310">
        <v>1</v>
      </c>
      <c r="J162" s="310">
        <v>20</v>
      </c>
      <c r="K162" s="310">
        <v>1</v>
      </c>
      <c r="L162" s="348"/>
      <c r="M162" s="346">
        <f t="shared" si="8"/>
        <v>5</v>
      </c>
      <c r="N162" s="346">
        <f t="shared" si="9"/>
        <v>100</v>
      </c>
      <c r="O162" s="348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309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  <c r="BT162" s="309"/>
      <c r="BU162" s="309"/>
      <c r="BV162" s="309"/>
      <c r="BW162" s="309"/>
      <c r="BX162" s="309"/>
      <c r="BY162" s="309"/>
      <c r="BZ162" s="309"/>
      <c r="CA162" s="309"/>
      <c r="CB162" s="309"/>
      <c r="CC162" s="309"/>
      <c r="CD162" s="309"/>
      <c r="CE162" s="309"/>
      <c r="CF162" s="309"/>
      <c r="CG162" s="309"/>
      <c r="CH162" s="309"/>
      <c r="CI162" s="309"/>
      <c r="CJ162" s="309"/>
      <c r="CK162" s="309"/>
      <c r="CL162" s="309"/>
      <c r="CM162" s="309"/>
      <c r="CN162" s="309"/>
      <c r="CO162" s="309"/>
      <c r="CP162" s="309"/>
      <c r="CQ162" s="309"/>
      <c r="CR162" s="309"/>
      <c r="CS162" s="309"/>
      <c r="CT162" s="309"/>
      <c r="CU162" s="309"/>
      <c r="CV162" s="309"/>
      <c r="CW162" s="309"/>
      <c r="CX162" s="309"/>
      <c r="CY162" s="309"/>
      <c r="CZ162" s="309"/>
      <c r="DA162" s="309"/>
      <c r="DB162" s="309"/>
      <c r="DC162" s="309"/>
      <c r="DD162" s="309"/>
      <c r="DE162" s="309"/>
      <c r="DF162" s="309"/>
      <c r="DG162" s="309"/>
      <c r="DH162" s="309"/>
      <c r="DI162" s="309"/>
      <c r="DJ162" s="309"/>
      <c r="DK162" s="309"/>
      <c r="DL162" s="309"/>
      <c r="DM162" s="309"/>
      <c r="DN162" s="309"/>
      <c r="DO162" s="309"/>
      <c r="DP162" s="309"/>
      <c r="DQ162" s="309"/>
      <c r="DR162" s="309"/>
      <c r="DS162" s="309"/>
      <c r="DT162" s="309"/>
      <c r="DU162" s="309"/>
      <c r="DV162" s="309"/>
      <c r="DW162" s="309"/>
      <c r="DX162" s="309"/>
      <c r="DY162" s="309"/>
      <c r="DZ162" s="309"/>
      <c r="EA162" s="309"/>
      <c r="EB162" s="309"/>
      <c r="EC162" s="309"/>
      <c r="ED162" s="309"/>
      <c r="EE162" s="309"/>
      <c r="EF162" s="309"/>
      <c r="EG162" s="309"/>
      <c r="EH162" s="309"/>
      <c r="EI162" s="309"/>
      <c r="EJ162" s="309"/>
      <c r="EK162" s="309"/>
      <c r="EL162" s="309"/>
      <c r="EM162" s="309"/>
      <c r="EN162" s="309"/>
      <c r="EO162" s="309"/>
      <c r="EP162" s="309"/>
      <c r="EQ162" s="309"/>
      <c r="ER162" s="309"/>
      <c r="ES162" s="309"/>
      <c r="ET162" s="309"/>
      <c r="EU162" s="309"/>
      <c r="EV162" s="309"/>
      <c r="EW162" s="309"/>
      <c r="EX162" s="309"/>
      <c r="EY162" s="309"/>
      <c r="EZ162" s="309"/>
      <c r="FA162" s="309"/>
      <c r="FB162" s="309"/>
      <c r="FC162" s="309"/>
      <c r="FD162" s="309"/>
      <c r="FE162" s="309"/>
      <c r="FF162" s="309"/>
      <c r="FG162" s="309"/>
      <c r="FH162" s="309"/>
      <c r="FI162" s="309"/>
      <c r="FJ162" s="309"/>
      <c r="FK162" s="309"/>
      <c r="FL162" s="309"/>
      <c r="FM162" s="309"/>
      <c r="FN162" s="309"/>
      <c r="FO162" s="309"/>
      <c r="FP162" s="309"/>
      <c r="FQ162" s="309"/>
      <c r="FR162" s="309"/>
      <c r="FS162" s="309"/>
      <c r="FT162" s="309"/>
      <c r="FU162" s="309"/>
      <c r="FV162" s="309"/>
      <c r="FW162" s="309"/>
      <c r="FX162" s="309"/>
      <c r="FY162" s="309"/>
      <c r="FZ162" s="309"/>
      <c r="GA162" s="309"/>
      <c r="GB162" s="309"/>
      <c r="GC162" s="309"/>
      <c r="GD162" s="309"/>
      <c r="GE162" s="309"/>
      <c r="GF162" s="309"/>
      <c r="GG162" s="309"/>
      <c r="GH162" s="309"/>
      <c r="GI162" s="309"/>
      <c r="GJ162" s="309"/>
      <c r="GK162" s="309"/>
      <c r="GL162" s="309"/>
      <c r="GM162" s="309"/>
      <c r="GN162" s="309"/>
      <c r="GO162" s="309"/>
      <c r="GP162" s="309"/>
      <c r="GQ162" s="309"/>
      <c r="GR162" s="309"/>
      <c r="GS162" s="309"/>
      <c r="GT162" s="309"/>
      <c r="GU162" s="309"/>
      <c r="GV162" s="309"/>
      <c r="GW162" s="309"/>
      <c r="GX162" s="309"/>
      <c r="GY162" s="309"/>
      <c r="GZ162" s="309"/>
      <c r="HA162" s="309"/>
      <c r="HB162" s="309"/>
      <c r="HC162" s="309"/>
      <c r="HD162" s="309"/>
      <c r="HE162" s="309"/>
      <c r="HF162" s="309"/>
      <c r="HG162" s="309"/>
      <c r="HH162" s="309"/>
      <c r="HI162" s="309"/>
      <c r="HJ162" s="309"/>
      <c r="HK162" s="309"/>
      <c r="HL162" s="309"/>
      <c r="HM162" s="309"/>
      <c r="HN162" s="309"/>
      <c r="HO162" s="309"/>
      <c r="HP162" s="309"/>
      <c r="HQ162" s="309"/>
      <c r="HR162" s="309"/>
      <c r="HS162" s="309"/>
      <c r="HT162" s="309"/>
      <c r="HU162" s="309"/>
      <c r="HV162" s="309"/>
      <c r="HW162" s="309"/>
      <c r="HX162" s="309"/>
      <c r="HY162" s="309"/>
      <c r="HZ162" s="309"/>
      <c r="IA162" s="309"/>
      <c r="IB162" s="309"/>
      <c r="IC162" s="309"/>
      <c r="ID162" s="309"/>
      <c r="IE162" s="309"/>
    </row>
    <row r="163" spans="1:239" ht="25.5">
      <c r="A163" s="310">
        <v>155</v>
      </c>
      <c r="B163" s="360">
        <v>43014</v>
      </c>
      <c r="C163" s="307" t="s">
        <v>517</v>
      </c>
      <c r="D163" s="310" t="s">
        <v>660</v>
      </c>
      <c r="E163" s="310">
        <v>0.4</v>
      </c>
      <c r="F163" s="355" t="s">
        <v>711</v>
      </c>
      <c r="G163" s="310" t="s">
        <v>522</v>
      </c>
      <c r="H163" s="310">
        <v>5</v>
      </c>
      <c r="I163" s="310">
        <v>1</v>
      </c>
      <c r="J163" s="310">
        <v>21</v>
      </c>
      <c r="K163" s="310">
        <v>1</v>
      </c>
      <c r="L163" s="348"/>
      <c r="M163" s="346">
        <f t="shared" si="8"/>
        <v>5</v>
      </c>
      <c r="N163" s="346">
        <f t="shared" si="9"/>
        <v>105</v>
      </c>
      <c r="O163" s="348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  <c r="AX163" s="309"/>
      <c r="AY163" s="309"/>
      <c r="AZ163" s="309"/>
      <c r="BA163" s="309"/>
      <c r="BB163" s="309"/>
      <c r="BC163" s="309"/>
      <c r="BD163" s="309"/>
      <c r="BE163" s="309"/>
      <c r="BF163" s="309"/>
      <c r="BG163" s="309"/>
      <c r="BH163" s="309"/>
      <c r="BI163" s="309"/>
      <c r="BJ163" s="309"/>
      <c r="BK163" s="309"/>
      <c r="BL163" s="309"/>
      <c r="BM163" s="309"/>
      <c r="BN163" s="309"/>
      <c r="BO163" s="309"/>
      <c r="BP163" s="309"/>
      <c r="BQ163" s="309"/>
      <c r="BR163" s="309"/>
      <c r="BS163" s="309"/>
      <c r="BT163" s="309"/>
      <c r="BU163" s="309"/>
      <c r="BV163" s="309"/>
      <c r="BW163" s="309"/>
      <c r="BX163" s="309"/>
      <c r="BY163" s="309"/>
      <c r="BZ163" s="309"/>
      <c r="CA163" s="309"/>
      <c r="CB163" s="309"/>
      <c r="CC163" s="309"/>
      <c r="CD163" s="309"/>
      <c r="CE163" s="309"/>
      <c r="CF163" s="309"/>
      <c r="CG163" s="309"/>
      <c r="CH163" s="309"/>
      <c r="CI163" s="309"/>
      <c r="CJ163" s="309"/>
      <c r="CK163" s="309"/>
      <c r="CL163" s="309"/>
      <c r="CM163" s="309"/>
      <c r="CN163" s="309"/>
      <c r="CO163" s="309"/>
      <c r="CP163" s="309"/>
      <c r="CQ163" s="309"/>
      <c r="CR163" s="309"/>
      <c r="CS163" s="309"/>
      <c r="CT163" s="309"/>
      <c r="CU163" s="309"/>
      <c r="CV163" s="309"/>
      <c r="CW163" s="309"/>
      <c r="CX163" s="309"/>
      <c r="CY163" s="309"/>
      <c r="CZ163" s="309"/>
      <c r="DA163" s="309"/>
      <c r="DB163" s="309"/>
      <c r="DC163" s="309"/>
      <c r="DD163" s="309"/>
      <c r="DE163" s="309"/>
      <c r="DF163" s="309"/>
      <c r="DG163" s="309"/>
      <c r="DH163" s="309"/>
      <c r="DI163" s="309"/>
      <c r="DJ163" s="309"/>
      <c r="DK163" s="309"/>
      <c r="DL163" s="309"/>
      <c r="DM163" s="309"/>
      <c r="DN163" s="309"/>
      <c r="DO163" s="309"/>
      <c r="DP163" s="309"/>
      <c r="DQ163" s="309"/>
      <c r="DR163" s="309"/>
      <c r="DS163" s="309"/>
      <c r="DT163" s="309"/>
      <c r="DU163" s="309"/>
      <c r="DV163" s="309"/>
      <c r="DW163" s="309"/>
      <c r="DX163" s="309"/>
      <c r="DY163" s="309"/>
      <c r="DZ163" s="309"/>
      <c r="EA163" s="309"/>
      <c r="EB163" s="309"/>
      <c r="EC163" s="309"/>
      <c r="ED163" s="309"/>
      <c r="EE163" s="309"/>
      <c r="EF163" s="309"/>
      <c r="EG163" s="309"/>
      <c r="EH163" s="309"/>
      <c r="EI163" s="309"/>
      <c r="EJ163" s="309"/>
      <c r="EK163" s="309"/>
      <c r="EL163" s="309"/>
      <c r="EM163" s="309"/>
      <c r="EN163" s="309"/>
      <c r="EO163" s="309"/>
      <c r="EP163" s="309"/>
      <c r="EQ163" s="309"/>
      <c r="ER163" s="309"/>
      <c r="ES163" s="309"/>
      <c r="ET163" s="309"/>
      <c r="EU163" s="309"/>
      <c r="EV163" s="309"/>
      <c r="EW163" s="309"/>
      <c r="EX163" s="309"/>
      <c r="EY163" s="309"/>
      <c r="EZ163" s="309"/>
      <c r="FA163" s="309"/>
      <c r="FB163" s="309"/>
      <c r="FC163" s="309"/>
      <c r="FD163" s="309"/>
      <c r="FE163" s="309"/>
      <c r="FF163" s="309"/>
      <c r="FG163" s="309"/>
      <c r="FH163" s="309"/>
      <c r="FI163" s="309"/>
      <c r="FJ163" s="309"/>
      <c r="FK163" s="309"/>
      <c r="FL163" s="309"/>
      <c r="FM163" s="309"/>
      <c r="FN163" s="309"/>
      <c r="FO163" s="309"/>
      <c r="FP163" s="309"/>
      <c r="FQ163" s="309"/>
      <c r="FR163" s="309"/>
      <c r="FS163" s="309"/>
      <c r="FT163" s="309"/>
      <c r="FU163" s="309"/>
      <c r="FV163" s="309"/>
      <c r="FW163" s="309"/>
      <c r="FX163" s="309"/>
      <c r="FY163" s="309"/>
      <c r="FZ163" s="309"/>
      <c r="GA163" s="309"/>
      <c r="GB163" s="309"/>
      <c r="GC163" s="309"/>
      <c r="GD163" s="309"/>
      <c r="GE163" s="309"/>
      <c r="GF163" s="309"/>
      <c r="GG163" s="309"/>
      <c r="GH163" s="309"/>
      <c r="GI163" s="309"/>
      <c r="GJ163" s="309"/>
      <c r="GK163" s="309"/>
      <c r="GL163" s="309"/>
      <c r="GM163" s="309"/>
      <c r="GN163" s="309"/>
      <c r="GO163" s="309"/>
      <c r="GP163" s="309"/>
      <c r="GQ163" s="309"/>
      <c r="GR163" s="309"/>
      <c r="GS163" s="309"/>
      <c r="GT163" s="309"/>
      <c r="GU163" s="309"/>
      <c r="GV163" s="309"/>
      <c r="GW163" s="309"/>
      <c r="GX163" s="309"/>
      <c r="GY163" s="309"/>
      <c r="GZ163" s="309"/>
      <c r="HA163" s="309"/>
      <c r="HB163" s="309"/>
      <c r="HC163" s="309"/>
      <c r="HD163" s="309"/>
      <c r="HE163" s="309"/>
      <c r="HF163" s="309"/>
      <c r="HG163" s="309"/>
      <c r="HH163" s="309"/>
      <c r="HI163" s="309"/>
      <c r="HJ163" s="309"/>
      <c r="HK163" s="309"/>
      <c r="HL163" s="309"/>
      <c r="HM163" s="309"/>
      <c r="HN163" s="309"/>
      <c r="HO163" s="309"/>
      <c r="HP163" s="309"/>
      <c r="HQ163" s="309"/>
      <c r="HR163" s="309"/>
      <c r="HS163" s="309"/>
      <c r="HT163" s="309"/>
      <c r="HU163" s="309"/>
      <c r="HV163" s="309"/>
      <c r="HW163" s="309"/>
      <c r="HX163" s="309"/>
      <c r="HY163" s="309"/>
      <c r="HZ163" s="309"/>
      <c r="IA163" s="309"/>
      <c r="IB163" s="309"/>
      <c r="IC163" s="309"/>
      <c r="ID163" s="309"/>
      <c r="IE163" s="309"/>
    </row>
    <row r="164" spans="1:239" ht="25.5">
      <c r="A164" s="310">
        <v>156</v>
      </c>
      <c r="B164" s="360">
        <v>43014</v>
      </c>
      <c r="C164" s="307" t="s">
        <v>517</v>
      </c>
      <c r="D164" s="310" t="s">
        <v>661</v>
      </c>
      <c r="E164" s="310">
        <v>0.4</v>
      </c>
      <c r="F164" s="355" t="s">
        <v>711</v>
      </c>
      <c r="G164" s="310" t="s">
        <v>522</v>
      </c>
      <c r="H164" s="310">
        <v>5</v>
      </c>
      <c r="I164" s="310">
        <v>1</v>
      </c>
      <c r="J164" s="310">
        <v>14</v>
      </c>
      <c r="K164" s="310">
        <v>1</v>
      </c>
      <c r="L164" s="348"/>
      <c r="M164" s="346">
        <f t="shared" si="8"/>
        <v>5</v>
      </c>
      <c r="N164" s="346">
        <f t="shared" si="9"/>
        <v>70</v>
      </c>
      <c r="O164" s="348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309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  <c r="BT164" s="309"/>
      <c r="BU164" s="309"/>
      <c r="BV164" s="309"/>
      <c r="BW164" s="309"/>
      <c r="BX164" s="309"/>
      <c r="BY164" s="309"/>
      <c r="BZ164" s="309"/>
      <c r="CA164" s="309"/>
      <c r="CB164" s="309"/>
      <c r="CC164" s="309"/>
      <c r="CD164" s="309"/>
      <c r="CE164" s="309"/>
      <c r="CF164" s="309"/>
      <c r="CG164" s="309"/>
      <c r="CH164" s="309"/>
      <c r="CI164" s="309"/>
      <c r="CJ164" s="309"/>
      <c r="CK164" s="309"/>
      <c r="CL164" s="309"/>
      <c r="CM164" s="309"/>
      <c r="CN164" s="309"/>
      <c r="CO164" s="309"/>
      <c r="CP164" s="309"/>
      <c r="CQ164" s="309"/>
      <c r="CR164" s="309"/>
      <c r="CS164" s="309"/>
      <c r="CT164" s="309"/>
      <c r="CU164" s="309"/>
      <c r="CV164" s="309"/>
      <c r="CW164" s="309"/>
      <c r="CX164" s="309"/>
      <c r="CY164" s="309"/>
      <c r="CZ164" s="309"/>
      <c r="DA164" s="309"/>
      <c r="DB164" s="309"/>
      <c r="DC164" s="309"/>
      <c r="DD164" s="309"/>
      <c r="DE164" s="309"/>
      <c r="DF164" s="309"/>
      <c r="DG164" s="309"/>
      <c r="DH164" s="309"/>
      <c r="DI164" s="309"/>
      <c r="DJ164" s="309"/>
      <c r="DK164" s="309"/>
      <c r="DL164" s="309"/>
      <c r="DM164" s="309"/>
      <c r="DN164" s="309"/>
      <c r="DO164" s="309"/>
      <c r="DP164" s="309"/>
      <c r="DQ164" s="309"/>
      <c r="DR164" s="309"/>
      <c r="DS164" s="309"/>
      <c r="DT164" s="309"/>
      <c r="DU164" s="309"/>
      <c r="DV164" s="309"/>
      <c r="DW164" s="309"/>
      <c r="DX164" s="309"/>
      <c r="DY164" s="309"/>
      <c r="DZ164" s="309"/>
      <c r="EA164" s="309"/>
      <c r="EB164" s="309"/>
      <c r="EC164" s="309"/>
      <c r="ED164" s="309"/>
      <c r="EE164" s="309"/>
      <c r="EF164" s="309"/>
      <c r="EG164" s="309"/>
      <c r="EH164" s="309"/>
      <c r="EI164" s="309"/>
      <c r="EJ164" s="309"/>
      <c r="EK164" s="309"/>
      <c r="EL164" s="309"/>
      <c r="EM164" s="309"/>
      <c r="EN164" s="309"/>
      <c r="EO164" s="309"/>
      <c r="EP164" s="309"/>
      <c r="EQ164" s="309"/>
      <c r="ER164" s="309"/>
      <c r="ES164" s="309"/>
      <c r="ET164" s="309"/>
      <c r="EU164" s="309"/>
      <c r="EV164" s="309"/>
      <c r="EW164" s="309"/>
      <c r="EX164" s="309"/>
      <c r="EY164" s="309"/>
      <c r="EZ164" s="309"/>
      <c r="FA164" s="309"/>
      <c r="FB164" s="309"/>
      <c r="FC164" s="309"/>
      <c r="FD164" s="309"/>
      <c r="FE164" s="309"/>
      <c r="FF164" s="309"/>
      <c r="FG164" s="309"/>
      <c r="FH164" s="309"/>
      <c r="FI164" s="309"/>
      <c r="FJ164" s="309"/>
      <c r="FK164" s="309"/>
      <c r="FL164" s="309"/>
      <c r="FM164" s="309"/>
      <c r="FN164" s="309"/>
      <c r="FO164" s="309"/>
      <c r="FP164" s="309"/>
      <c r="FQ164" s="309"/>
      <c r="FR164" s="309"/>
      <c r="FS164" s="309"/>
      <c r="FT164" s="309"/>
      <c r="FU164" s="309"/>
      <c r="FV164" s="309"/>
      <c r="FW164" s="309"/>
      <c r="FX164" s="309"/>
      <c r="FY164" s="309"/>
      <c r="FZ164" s="309"/>
      <c r="GA164" s="309"/>
      <c r="GB164" s="309"/>
      <c r="GC164" s="309"/>
      <c r="GD164" s="309"/>
      <c r="GE164" s="309"/>
      <c r="GF164" s="309"/>
      <c r="GG164" s="309"/>
      <c r="GH164" s="309"/>
      <c r="GI164" s="309"/>
      <c r="GJ164" s="309"/>
      <c r="GK164" s="309"/>
      <c r="GL164" s="309"/>
      <c r="GM164" s="309"/>
      <c r="GN164" s="309"/>
      <c r="GO164" s="309"/>
      <c r="GP164" s="309"/>
      <c r="GQ164" s="309"/>
      <c r="GR164" s="309"/>
      <c r="GS164" s="309"/>
      <c r="GT164" s="309"/>
      <c r="GU164" s="309"/>
      <c r="GV164" s="309"/>
      <c r="GW164" s="309"/>
      <c r="GX164" s="309"/>
      <c r="GY164" s="309"/>
      <c r="GZ164" s="309"/>
      <c r="HA164" s="309"/>
      <c r="HB164" s="309"/>
      <c r="HC164" s="309"/>
      <c r="HD164" s="309"/>
      <c r="HE164" s="309"/>
      <c r="HF164" s="309"/>
      <c r="HG164" s="309"/>
      <c r="HH164" s="309"/>
      <c r="HI164" s="309"/>
      <c r="HJ164" s="309"/>
      <c r="HK164" s="309"/>
      <c r="HL164" s="309"/>
      <c r="HM164" s="309"/>
      <c r="HN164" s="309"/>
      <c r="HO164" s="309"/>
      <c r="HP164" s="309"/>
      <c r="HQ164" s="309"/>
      <c r="HR164" s="309"/>
      <c r="HS164" s="309"/>
      <c r="HT164" s="309"/>
      <c r="HU164" s="309"/>
      <c r="HV164" s="309"/>
      <c r="HW164" s="309"/>
      <c r="HX164" s="309"/>
      <c r="HY164" s="309"/>
      <c r="HZ164" s="309"/>
      <c r="IA164" s="309"/>
      <c r="IB164" s="309"/>
      <c r="IC164" s="309"/>
      <c r="ID164" s="309"/>
      <c r="IE164" s="309"/>
    </row>
    <row r="165" spans="1:239" ht="25.5">
      <c r="A165" s="310">
        <v>157</v>
      </c>
      <c r="B165" s="360">
        <v>43017</v>
      </c>
      <c r="C165" s="307" t="s">
        <v>517</v>
      </c>
      <c r="D165" s="310" t="s">
        <v>662</v>
      </c>
      <c r="E165" s="310">
        <v>0.4</v>
      </c>
      <c r="F165" s="355" t="s">
        <v>711</v>
      </c>
      <c r="G165" s="310" t="s">
        <v>522</v>
      </c>
      <c r="H165" s="310">
        <v>1.83</v>
      </c>
      <c r="I165" s="310">
        <v>1</v>
      </c>
      <c r="J165" s="310">
        <v>20</v>
      </c>
      <c r="K165" s="310">
        <v>1</v>
      </c>
      <c r="L165" s="348"/>
      <c r="M165" s="346">
        <f t="shared" si="8"/>
        <v>1.83</v>
      </c>
      <c r="N165" s="346">
        <f t="shared" si="9"/>
        <v>36.6</v>
      </c>
      <c r="O165" s="348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309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  <c r="BT165" s="309"/>
      <c r="BU165" s="309"/>
      <c r="BV165" s="309"/>
      <c r="BW165" s="309"/>
      <c r="BX165" s="309"/>
      <c r="BY165" s="309"/>
      <c r="BZ165" s="309"/>
      <c r="CA165" s="309"/>
      <c r="CB165" s="309"/>
      <c r="CC165" s="309"/>
      <c r="CD165" s="309"/>
      <c r="CE165" s="309"/>
      <c r="CF165" s="309"/>
      <c r="CG165" s="309"/>
      <c r="CH165" s="309"/>
      <c r="CI165" s="309"/>
      <c r="CJ165" s="309"/>
      <c r="CK165" s="309"/>
      <c r="CL165" s="309"/>
      <c r="CM165" s="309"/>
      <c r="CN165" s="309"/>
      <c r="CO165" s="309"/>
      <c r="CP165" s="309"/>
      <c r="CQ165" s="309"/>
      <c r="CR165" s="309"/>
      <c r="CS165" s="309"/>
      <c r="CT165" s="309"/>
      <c r="CU165" s="309"/>
      <c r="CV165" s="309"/>
      <c r="CW165" s="309"/>
      <c r="CX165" s="309"/>
      <c r="CY165" s="309"/>
      <c r="CZ165" s="309"/>
      <c r="DA165" s="309"/>
      <c r="DB165" s="309"/>
      <c r="DC165" s="309"/>
      <c r="DD165" s="309"/>
      <c r="DE165" s="309"/>
      <c r="DF165" s="309"/>
      <c r="DG165" s="309"/>
      <c r="DH165" s="309"/>
      <c r="DI165" s="309"/>
      <c r="DJ165" s="309"/>
      <c r="DK165" s="309"/>
      <c r="DL165" s="309"/>
      <c r="DM165" s="309"/>
      <c r="DN165" s="309"/>
      <c r="DO165" s="309"/>
      <c r="DP165" s="309"/>
      <c r="DQ165" s="309"/>
      <c r="DR165" s="309"/>
      <c r="DS165" s="309"/>
      <c r="DT165" s="309"/>
      <c r="DU165" s="309"/>
      <c r="DV165" s="309"/>
      <c r="DW165" s="309"/>
      <c r="DX165" s="309"/>
      <c r="DY165" s="309"/>
      <c r="DZ165" s="309"/>
      <c r="EA165" s="309"/>
      <c r="EB165" s="309"/>
      <c r="EC165" s="309"/>
      <c r="ED165" s="309"/>
      <c r="EE165" s="309"/>
      <c r="EF165" s="309"/>
      <c r="EG165" s="309"/>
      <c r="EH165" s="309"/>
      <c r="EI165" s="309"/>
      <c r="EJ165" s="309"/>
      <c r="EK165" s="309"/>
      <c r="EL165" s="309"/>
      <c r="EM165" s="309"/>
      <c r="EN165" s="309"/>
      <c r="EO165" s="309"/>
      <c r="EP165" s="309"/>
      <c r="EQ165" s="309"/>
      <c r="ER165" s="309"/>
      <c r="ES165" s="309"/>
      <c r="ET165" s="309"/>
      <c r="EU165" s="309"/>
      <c r="EV165" s="309"/>
      <c r="EW165" s="309"/>
      <c r="EX165" s="309"/>
      <c r="EY165" s="309"/>
      <c r="EZ165" s="309"/>
      <c r="FA165" s="309"/>
      <c r="FB165" s="309"/>
      <c r="FC165" s="309"/>
      <c r="FD165" s="309"/>
      <c r="FE165" s="309"/>
      <c r="FF165" s="309"/>
      <c r="FG165" s="309"/>
      <c r="FH165" s="309"/>
      <c r="FI165" s="309"/>
      <c r="FJ165" s="309"/>
      <c r="FK165" s="309"/>
      <c r="FL165" s="309"/>
      <c r="FM165" s="309"/>
      <c r="FN165" s="309"/>
      <c r="FO165" s="309"/>
      <c r="FP165" s="309"/>
      <c r="FQ165" s="309"/>
      <c r="FR165" s="309"/>
      <c r="FS165" s="309"/>
      <c r="FT165" s="309"/>
      <c r="FU165" s="309"/>
      <c r="FV165" s="309"/>
      <c r="FW165" s="309"/>
      <c r="FX165" s="309"/>
      <c r="FY165" s="309"/>
      <c r="FZ165" s="309"/>
      <c r="GA165" s="309"/>
      <c r="GB165" s="309"/>
      <c r="GC165" s="309"/>
      <c r="GD165" s="309"/>
      <c r="GE165" s="309"/>
      <c r="GF165" s="309"/>
      <c r="GG165" s="309"/>
      <c r="GH165" s="309"/>
      <c r="GI165" s="309"/>
      <c r="GJ165" s="309"/>
      <c r="GK165" s="309"/>
      <c r="GL165" s="309"/>
      <c r="GM165" s="309"/>
      <c r="GN165" s="309"/>
      <c r="GO165" s="309"/>
      <c r="GP165" s="309"/>
      <c r="GQ165" s="309"/>
      <c r="GR165" s="309"/>
      <c r="GS165" s="309"/>
      <c r="GT165" s="309"/>
      <c r="GU165" s="309"/>
      <c r="GV165" s="309"/>
      <c r="GW165" s="309"/>
      <c r="GX165" s="309"/>
      <c r="GY165" s="309"/>
      <c r="GZ165" s="309"/>
      <c r="HA165" s="309"/>
      <c r="HB165" s="309"/>
      <c r="HC165" s="309"/>
      <c r="HD165" s="309"/>
      <c r="HE165" s="309"/>
      <c r="HF165" s="309"/>
      <c r="HG165" s="309"/>
      <c r="HH165" s="309"/>
      <c r="HI165" s="309"/>
      <c r="HJ165" s="309"/>
      <c r="HK165" s="309"/>
      <c r="HL165" s="309"/>
      <c r="HM165" s="309"/>
      <c r="HN165" s="309"/>
      <c r="HO165" s="309"/>
      <c r="HP165" s="309"/>
      <c r="HQ165" s="309"/>
      <c r="HR165" s="309"/>
      <c r="HS165" s="309"/>
      <c r="HT165" s="309"/>
      <c r="HU165" s="309"/>
      <c r="HV165" s="309"/>
      <c r="HW165" s="309"/>
      <c r="HX165" s="309"/>
      <c r="HY165" s="309"/>
      <c r="HZ165" s="309"/>
      <c r="IA165" s="309"/>
      <c r="IB165" s="309"/>
      <c r="IC165" s="309"/>
      <c r="ID165" s="309"/>
      <c r="IE165" s="309"/>
    </row>
    <row r="166" spans="1:239" ht="25.5">
      <c r="A166" s="310">
        <v>158</v>
      </c>
      <c r="B166" s="360">
        <v>43017</v>
      </c>
      <c r="C166" s="307" t="s">
        <v>517</v>
      </c>
      <c r="D166" s="310" t="s">
        <v>663</v>
      </c>
      <c r="E166" s="310">
        <v>0.4</v>
      </c>
      <c r="F166" s="355" t="s">
        <v>711</v>
      </c>
      <c r="G166" s="310" t="s">
        <v>522</v>
      </c>
      <c r="H166" s="310">
        <v>1.83</v>
      </c>
      <c r="I166" s="310">
        <v>1</v>
      </c>
      <c r="J166" s="310">
        <v>23</v>
      </c>
      <c r="K166" s="310">
        <v>1</v>
      </c>
      <c r="L166" s="348"/>
      <c r="M166" s="346">
        <f t="shared" si="8"/>
        <v>1.83</v>
      </c>
      <c r="N166" s="346">
        <f t="shared" si="9"/>
        <v>42.09</v>
      </c>
      <c r="O166" s="348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309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  <c r="BT166" s="309"/>
      <c r="BU166" s="309"/>
      <c r="BV166" s="309"/>
      <c r="BW166" s="309"/>
      <c r="BX166" s="309"/>
      <c r="BY166" s="309"/>
      <c r="BZ166" s="309"/>
      <c r="CA166" s="309"/>
      <c r="CB166" s="309"/>
      <c r="CC166" s="309"/>
      <c r="CD166" s="309"/>
      <c r="CE166" s="309"/>
      <c r="CF166" s="309"/>
      <c r="CG166" s="309"/>
      <c r="CH166" s="309"/>
      <c r="CI166" s="309"/>
      <c r="CJ166" s="309"/>
      <c r="CK166" s="309"/>
      <c r="CL166" s="309"/>
      <c r="CM166" s="309"/>
      <c r="CN166" s="309"/>
      <c r="CO166" s="309"/>
      <c r="CP166" s="309"/>
      <c r="CQ166" s="309"/>
      <c r="CR166" s="309"/>
      <c r="CS166" s="309"/>
      <c r="CT166" s="309"/>
      <c r="CU166" s="309"/>
      <c r="CV166" s="309"/>
      <c r="CW166" s="309"/>
      <c r="CX166" s="309"/>
      <c r="CY166" s="309"/>
      <c r="CZ166" s="309"/>
      <c r="DA166" s="309"/>
      <c r="DB166" s="309"/>
      <c r="DC166" s="309"/>
      <c r="DD166" s="309"/>
      <c r="DE166" s="309"/>
      <c r="DF166" s="309"/>
      <c r="DG166" s="309"/>
      <c r="DH166" s="309"/>
      <c r="DI166" s="309"/>
      <c r="DJ166" s="309"/>
      <c r="DK166" s="309"/>
      <c r="DL166" s="309"/>
      <c r="DM166" s="309"/>
      <c r="DN166" s="309"/>
      <c r="DO166" s="309"/>
      <c r="DP166" s="309"/>
      <c r="DQ166" s="309"/>
      <c r="DR166" s="309"/>
      <c r="DS166" s="309"/>
      <c r="DT166" s="309"/>
      <c r="DU166" s="309"/>
      <c r="DV166" s="309"/>
      <c r="DW166" s="309"/>
      <c r="DX166" s="309"/>
      <c r="DY166" s="309"/>
      <c r="DZ166" s="309"/>
      <c r="EA166" s="309"/>
      <c r="EB166" s="309"/>
      <c r="EC166" s="309"/>
      <c r="ED166" s="309"/>
      <c r="EE166" s="309"/>
      <c r="EF166" s="309"/>
      <c r="EG166" s="309"/>
      <c r="EH166" s="309"/>
      <c r="EI166" s="309"/>
      <c r="EJ166" s="309"/>
      <c r="EK166" s="309"/>
      <c r="EL166" s="309"/>
      <c r="EM166" s="309"/>
      <c r="EN166" s="309"/>
      <c r="EO166" s="309"/>
      <c r="EP166" s="309"/>
      <c r="EQ166" s="309"/>
      <c r="ER166" s="309"/>
      <c r="ES166" s="309"/>
      <c r="ET166" s="309"/>
      <c r="EU166" s="309"/>
      <c r="EV166" s="309"/>
      <c r="EW166" s="309"/>
      <c r="EX166" s="309"/>
      <c r="EY166" s="309"/>
      <c r="EZ166" s="309"/>
      <c r="FA166" s="309"/>
      <c r="FB166" s="309"/>
      <c r="FC166" s="309"/>
      <c r="FD166" s="309"/>
      <c r="FE166" s="309"/>
      <c r="FF166" s="309"/>
      <c r="FG166" s="309"/>
      <c r="FH166" s="309"/>
      <c r="FI166" s="309"/>
      <c r="FJ166" s="309"/>
      <c r="FK166" s="309"/>
      <c r="FL166" s="309"/>
      <c r="FM166" s="309"/>
      <c r="FN166" s="309"/>
      <c r="FO166" s="309"/>
      <c r="FP166" s="309"/>
      <c r="FQ166" s="309"/>
      <c r="FR166" s="309"/>
      <c r="FS166" s="309"/>
      <c r="FT166" s="309"/>
      <c r="FU166" s="309"/>
      <c r="FV166" s="309"/>
      <c r="FW166" s="309"/>
      <c r="FX166" s="309"/>
      <c r="FY166" s="309"/>
      <c r="FZ166" s="309"/>
      <c r="GA166" s="309"/>
      <c r="GB166" s="309"/>
      <c r="GC166" s="309"/>
      <c r="GD166" s="309"/>
      <c r="GE166" s="309"/>
      <c r="GF166" s="309"/>
      <c r="GG166" s="309"/>
      <c r="GH166" s="309"/>
      <c r="GI166" s="309"/>
      <c r="GJ166" s="309"/>
      <c r="GK166" s="309"/>
      <c r="GL166" s="309"/>
      <c r="GM166" s="309"/>
      <c r="GN166" s="309"/>
      <c r="GO166" s="309"/>
      <c r="GP166" s="309"/>
      <c r="GQ166" s="309"/>
      <c r="GR166" s="309"/>
      <c r="GS166" s="309"/>
      <c r="GT166" s="309"/>
      <c r="GU166" s="309"/>
      <c r="GV166" s="309"/>
      <c r="GW166" s="309"/>
      <c r="GX166" s="309"/>
      <c r="GY166" s="309"/>
      <c r="GZ166" s="309"/>
      <c r="HA166" s="309"/>
      <c r="HB166" s="309"/>
      <c r="HC166" s="309"/>
      <c r="HD166" s="309"/>
      <c r="HE166" s="309"/>
      <c r="HF166" s="309"/>
      <c r="HG166" s="309"/>
      <c r="HH166" s="309"/>
      <c r="HI166" s="309"/>
      <c r="HJ166" s="309"/>
      <c r="HK166" s="309"/>
      <c r="HL166" s="309"/>
      <c r="HM166" s="309"/>
      <c r="HN166" s="309"/>
      <c r="HO166" s="309"/>
      <c r="HP166" s="309"/>
      <c r="HQ166" s="309"/>
      <c r="HR166" s="309"/>
      <c r="HS166" s="309"/>
      <c r="HT166" s="309"/>
      <c r="HU166" s="309"/>
      <c r="HV166" s="309"/>
      <c r="HW166" s="309"/>
      <c r="HX166" s="309"/>
      <c r="HY166" s="309"/>
      <c r="HZ166" s="309"/>
      <c r="IA166" s="309"/>
      <c r="IB166" s="309"/>
      <c r="IC166" s="309"/>
      <c r="ID166" s="309"/>
      <c r="IE166" s="309"/>
    </row>
    <row r="167" spans="1:239" ht="25.5">
      <c r="A167" s="310">
        <v>159</v>
      </c>
      <c r="B167" s="360">
        <v>43018</v>
      </c>
      <c r="C167" s="307" t="s">
        <v>517</v>
      </c>
      <c r="D167" s="310" t="s">
        <v>664</v>
      </c>
      <c r="E167" s="310">
        <v>0.4</v>
      </c>
      <c r="F167" s="355" t="s">
        <v>711</v>
      </c>
      <c r="G167" s="310" t="s">
        <v>522</v>
      </c>
      <c r="H167" s="310">
        <v>4.92</v>
      </c>
      <c r="I167" s="310">
        <v>1</v>
      </c>
      <c r="J167" s="310">
        <v>17</v>
      </c>
      <c r="K167" s="310">
        <v>1</v>
      </c>
      <c r="L167" s="348"/>
      <c r="M167" s="346">
        <f t="shared" si="8"/>
        <v>4.92</v>
      </c>
      <c r="N167" s="346">
        <f t="shared" si="9"/>
        <v>83.64</v>
      </c>
      <c r="O167" s="348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309"/>
      <c r="CN167" s="309"/>
      <c r="CO167" s="309"/>
      <c r="CP167" s="309"/>
      <c r="CQ167" s="309"/>
      <c r="CR167" s="309"/>
      <c r="CS167" s="309"/>
      <c r="CT167" s="309"/>
      <c r="CU167" s="309"/>
      <c r="CV167" s="309"/>
      <c r="CW167" s="309"/>
      <c r="CX167" s="309"/>
      <c r="CY167" s="309"/>
      <c r="CZ167" s="309"/>
      <c r="DA167" s="309"/>
      <c r="DB167" s="309"/>
      <c r="DC167" s="309"/>
      <c r="DD167" s="309"/>
      <c r="DE167" s="309"/>
      <c r="DF167" s="309"/>
      <c r="DG167" s="309"/>
      <c r="DH167" s="309"/>
      <c r="DI167" s="309"/>
      <c r="DJ167" s="309"/>
      <c r="DK167" s="309"/>
      <c r="DL167" s="309"/>
      <c r="DM167" s="309"/>
      <c r="DN167" s="309"/>
      <c r="DO167" s="309"/>
      <c r="DP167" s="309"/>
      <c r="DQ167" s="309"/>
      <c r="DR167" s="309"/>
      <c r="DS167" s="309"/>
      <c r="DT167" s="309"/>
      <c r="DU167" s="309"/>
      <c r="DV167" s="309"/>
      <c r="DW167" s="309"/>
      <c r="DX167" s="309"/>
      <c r="DY167" s="309"/>
      <c r="DZ167" s="309"/>
      <c r="EA167" s="309"/>
      <c r="EB167" s="309"/>
      <c r="EC167" s="309"/>
      <c r="ED167" s="309"/>
      <c r="EE167" s="309"/>
      <c r="EF167" s="309"/>
      <c r="EG167" s="309"/>
      <c r="EH167" s="309"/>
      <c r="EI167" s="309"/>
      <c r="EJ167" s="309"/>
      <c r="EK167" s="309"/>
      <c r="EL167" s="309"/>
      <c r="EM167" s="309"/>
      <c r="EN167" s="309"/>
      <c r="EO167" s="309"/>
      <c r="EP167" s="309"/>
      <c r="EQ167" s="309"/>
      <c r="ER167" s="309"/>
      <c r="ES167" s="309"/>
      <c r="ET167" s="309"/>
      <c r="EU167" s="309"/>
      <c r="EV167" s="309"/>
      <c r="EW167" s="309"/>
      <c r="EX167" s="309"/>
      <c r="EY167" s="309"/>
      <c r="EZ167" s="309"/>
      <c r="FA167" s="309"/>
      <c r="FB167" s="309"/>
      <c r="FC167" s="309"/>
      <c r="FD167" s="309"/>
      <c r="FE167" s="309"/>
      <c r="FF167" s="309"/>
      <c r="FG167" s="309"/>
      <c r="FH167" s="309"/>
      <c r="FI167" s="309"/>
      <c r="FJ167" s="309"/>
      <c r="FK167" s="309"/>
      <c r="FL167" s="309"/>
      <c r="FM167" s="309"/>
      <c r="FN167" s="309"/>
      <c r="FO167" s="309"/>
      <c r="FP167" s="309"/>
      <c r="FQ167" s="309"/>
      <c r="FR167" s="309"/>
      <c r="FS167" s="309"/>
      <c r="FT167" s="309"/>
      <c r="FU167" s="309"/>
      <c r="FV167" s="309"/>
      <c r="FW167" s="309"/>
      <c r="FX167" s="309"/>
      <c r="FY167" s="309"/>
      <c r="FZ167" s="309"/>
      <c r="GA167" s="309"/>
      <c r="GB167" s="309"/>
      <c r="GC167" s="309"/>
      <c r="GD167" s="309"/>
      <c r="GE167" s="309"/>
      <c r="GF167" s="309"/>
      <c r="GG167" s="309"/>
      <c r="GH167" s="309"/>
      <c r="GI167" s="309"/>
      <c r="GJ167" s="309"/>
      <c r="GK167" s="309"/>
      <c r="GL167" s="309"/>
      <c r="GM167" s="309"/>
      <c r="GN167" s="309"/>
      <c r="GO167" s="309"/>
      <c r="GP167" s="309"/>
      <c r="GQ167" s="309"/>
      <c r="GR167" s="309"/>
      <c r="GS167" s="309"/>
      <c r="GT167" s="309"/>
      <c r="GU167" s="309"/>
      <c r="GV167" s="309"/>
      <c r="GW167" s="309"/>
      <c r="GX167" s="309"/>
      <c r="GY167" s="309"/>
      <c r="GZ167" s="309"/>
      <c r="HA167" s="309"/>
      <c r="HB167" s="309"/>
      <c r="HC167" s="309"/>
      <c r="HD167" s="309"/>
      <c r="HE167" s="309"/>
      <c r="HF167" s="309"/>
      <c r="HG167" s="309"/>
      <c r="HH167" s="309"/>
      <c r="HI167" s="309"/>
      <c r="HJ167" s="309"/>
      <c r="HK167" s="309"/>
      <c r="HL167" s="309"/>
      <c r="HM167" s="309"/>
      <c r="HN167" s="309"/>
      <c r="HO167" s="309"/>
      <c r="HP167" s="309"/>
      <c r="HQ167" s="309"/>
      <c r="HR167" s="309"/>
      <c r="HS167" s="309"/>
      <c r="HT167" s="309"/>
      <c r="HU167" s="309"/>
      <c r="HV167" s="309"/>
      <c r="HW167" s="309"/>
      <c r="HX167" s="309"/>
      <c r="HY167" s="309"/>
      <c r="HZ167" s="309"/>
      <c r="IA167" s="309"/>
      <c r="IB167" s="309"/>
      <c r="IC167" s="309"/>
      <c r="ID167" s="309"/>
      <c r="IE167" s="309"/>
    </row>
    <row r="168" spans="1:239" ht="25.5">
      <c r="A168" s="310">
        <v>160</v>
      </c>
      <c r="B168" s="360">
        <v>43019</v>
      </c>
      <c r="C168" s="307" t="s">
        <v>517</v>
      </c>
      <c r="D168" s="310" t="s">
        <v>665</v>
      </c>
      <c r="E168" s="310">
        <v>0.4</v>
      </c>
      <c r="F168" s="355" t="s">
        <v>711</v>
      </c>
      <c r="G168" s="310" t="s">
        <v>522</v>
      </c>
      <c r="H168" s="310">
        <v>4.42</v>
      </c>
      <c r="I168" s="310">
        <v>1</v>
      </c>
      <c r="J168" s="310">
        <v>51</v>
      </c>
      <c r="K168" s="310">
        <v>1</v>
      </c>
      <c r="L168" s="348"/>
      <c r="M168" s="346">
        <f t="shared" si="8"/>
        <v>4.42</v>
      </c>
      <c r="N168" s="346">
        <f t="shared" si="9"/>
        <v>225.42</v>
      </c>
      <c r="O168" s="348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09"/>
      <c r="BO168" s="309"/>
      <c r="BP168" s="309"/>
      <c r="BQ168" s="309"/>
      <c r="BR168" s="309"/>
      <c r="BS168" s="309"/>
      <c r="BT168" s="309"/>
      <c r="BU168" s="309"/>
      <c r="BV168" s="309"/>
      <c r="BW168" s="309"/>
      <c r="BX168" s="309"/>
      <c r="BY168" s="309"/>
      <c r="BZ168" s="309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  <c r="CR168" s="309"/>
      <c r="CS168" s="309"/>
      <c r="CT168" s="309"/>
      <c r="CU168" s="309"/>
      <c r="CV168" s="309"/>
      <c r="CW168" s="309"/>
      <c r="CX168" s="309"/>
      <c r="CY168" s="309"/>
      <c r="CZ168" s="309"/>
      <c r="DA168" s="309"/>
      <c r="DB168" s="309"/>
      <c r="DC168" s="309"/>
      <c r="DD168" s="309"/>
      <c r="DE168" s="309"/>
      <c r="DF168" s="309"/>
      <c r="DG168" s="309"/>
      <c r="DH168" s="309"/>
      <c r="DI168" s="309"/>
      <c r="DJ168" s="309"/>
      <c r="DK168" s="309"/>
      <c r="DL168" s="309"/>
      <c r="DM168" s="309"/>
      <c r="DN168" s="309"/>
      <c r="DO168" s="309"/>
      <c r="DP168" s="309"/>
      <c r="DQ168" s="309"/>
      <c r="DR168" s="309"/>
      <c r="DS168" s="309"/>
      <c r="DT168" s="309"/>
      <c r="DU168" s="309"/>
      <c r="DV168" s="309"/>
      <c r="DW168" s="309"/>
      <c r="DX168" s="309"/>
      <c r="DY168" s="309"/>
      <c r="DZ168" s="309"/>
      <c r="EA168" s="309"/>
      <c r="EB168" s="309"/>
      <c r="EC168" s="309"/>
      <c r="ED168" s="309"/>
      <c r="EE168" s="309"/>
      <c r="EF168" s="309"/>
      <c r="EG168" s="309"/>
      <c r="EH168" s="309"/>
      <c r="EI168" s="309"/>
      <c r="EJ168" s="309"/>
      <c r="EK168" s="309"/>
      <c r="EL168" s="309"/>
      <c r="EM168" s="309"/>
      <c r="EN168" s="309"/>
      <c r="EO168" s="309"/>
      <c r="EP168" s="309"/>
      <c r="EQ168" s="309"/>
      <c r="ER168" s="309"/>
      <c r="ES168" s="309"/>
      <c r="ET168" s="309"/>
      <c r="EU168" s="309"/>
      <c r="EV168" s="309"/>
      <c r="EW168" s="309"/>
      <c r="EX168" s="309"/>
      <c r="EY168" s="309"/>
      <c r="EZ168" s="309"/>
      <c r="FA168" s="309"/>
      <c r="FB168" s="309"/>
      <c r="FC168" s="309"/>
      <c r="FD168" s="309"/>
      <c r="FE168" s="309"/>
      <c r="FF168" s="309"/>
      <c r="FG168" s="309"/>
      <c r="FH168" s="309"/>
      <c r="FI168" s="309"/>
      <c r="FJ168" s="309"/>
      <c r="FK168" s="309"/>
      <c r="FL168" s="309"/>
      <c r="FM168" s="309"/>
      <c r="FN168" s="309"/>
      <c r="FO168" s="309"/>
      <c r="FP168" s="309"/>
      <c r="FQ168" s="309"/>
      <c r="FR168" s="309"/>
      <c r="FS168" s="309"/>
      <c r="FT168" s="309"/>
      <c r="FU168" s="309"/>
      <c r="FV168" s="309"/>
      <c r="FW168" s="309"/>
      <c r="FX168" s="309"/>
      <c r="FY168" s="309"/>
      <c r="FZ168" s="309"/>
      <c r="GA168" s="309"/>
      <c r="GB168" s="309"/>
      <c r="GC168" s="309"/>
      <c r="GD168" s="309"/>
      <c r="GE168" s="309"/>
      <c r="GF168" s="309"/>
      <c r="GG168" s="309"/>
      <c r="GH168" s="309"/>
      <c r="GI168" s="309"/>
      <c r="GJ168" s="309"/>
      <c r="GK168" s="309"/>
      <c r="GL168" s="309"/>
      <c r="GM168" s="309"/>
      <c r="GN168" s="309"/>
      <c r="GO168" s="309"/>
      <c r="GP168" s="309"/>
      <c r="GQ168" s="309"/>
      <c r="GR168" s="309"/>
      <c r="GS168" s="309"/>
      <c r="GT168" s="309"/>
      <c r="GU168" s="309"/>
      <c r="GV168" s="309"/>
      <c r="GW168" s="309"/>
      <c r="GX168" s="309"/>
      <c r="GY168" s="309"/>
      <c r="GZ168" s="309"/>
      <c r="HA168" s="309"/>
      <c r="HB168" s="309"/>
      <c r="HC168" s="309"/>
      <c r="HD168" s="309"/>
      <c r="HE168" s="309"/>
      <c r="HF168" s="309"/>
      <c r="HG168" s="309"/>
      <c r="HH168" s="309"/>
      <c r="HI168" s="309"/>
      <c r="HJ168" s="309"/>
      <c r="HK168" s="309"/>
      <c r="HL168" s="309"/>
      <c r="HM168" s="309"/>
      <c r="HN168" s="309"/>
      <c r="HO168" s="309"/>
      <c r="HP168" s="309"/>
      <c r="HQ168" s="309"/>
      <c r="HR168" s="309"/>
      <c r="HS168" s="309"/>
      <c r="HT168" s="309"/>
      <c r="HU168" s="309"/>
      <c r="HV168" s="309"/>
      <c r="HW168" s="309"/>
      <c r="HX168" s="309"/>
      <c r="HY168" s="309"/>
      <c r="HZ168" s="309"/>
      <c r="IA168" s="309"/>
      <c r="IB168" s="309"/>
      <c r="IC168" s="309"/>
      <c r="ID168" s="309"/>
      <c r="IE168" s="309"/>
    </row>
    <row r="169" spans="1:239" ht="25.5">
      <c r="A169" s="310">
        <v>161</v>
      </c>
      <c r="B169" s="360">
        <v>43020</v>
      </c>
      <c r="C169" s="307" t="s">
        <v>517</v>
      </c>
      <c r="D169" s="310" t="s">
        <v>666</v>
      </c>
      <c r="E169" s="310">
        <v>0.4</v>
      </c>
      <c r="F169" s="355" t="s">
        <v>711</v>
      </c>
      <c r="G169" s="310" t="s">
        <v>522</v>
      </c>
      <c r="H169" s="310">
        <v>1.5</v>
      </c>
      <c r="I169" s="310">
        <v>1</v>
      </c>
      <c r="J169" s="310">
        <v>30</v>
      </c>
      <c r="K169" s="310">
        <v>1</v>
      </c>
      <c r="L169" s="348"/>
      <c r="M169" s="346">
        <f aca="true" t="shared" si="10" ref="M169:M200">H169*I169</f>
        <v>1.5</v>
      </c>
      <c r="N169" s="346">
        <f aca="true" t="shared" si="11" ref="N169:N200">H169*J169</f>
        <v>45</v>
      </c>
      <c r="O169" s="348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  <c r="BT169" s="309"/>
      <c r="BU169" s="309"/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309"/>
      <c r="CI169" s="309"/>
      <c r="CJ169" s="309"/>
      <c r="CK169" s="309"/>
      <c r="CL169" s="309"/>
      <c r="CM169" s="309"/>
      <c r="CN169" s="309"/>
      <c r="CO169" s="309"/>
      <c r="CP169" s="309"/>
      <c r="CQ169" s="309"/>
      <c r="CR169" s="309"/>
      <c r="CS169" s="309"/>
      <c r="CT169" s="309"/>
      <c r="CU169" s="309"/>
      <c r="CV169" s="309"/>
      <c r="CW169" s="309"/>
      <c r="CX169" s="309"/>
      <c r="CY169" s="309"/>
      <c r="CZ169" s="309"/>
      <c r="DA169" s="309"/>
      <c r="DB169" s="309"/>
      <c r="DC169" s="309"/>
      <c r="DD169" s="309"/>
      <c r="DE169" s="309"/>
      <c r="DF169" s="309"/>
      <c r="DG169" s="309"/>
      <c r="DH169" s="309"/>
      <c r="DI169" s="309"/>
      <c r="DJ169" s="309"/>
      <c r="DK169" s="309"/>
      <c r="DL169" s="309"/>
      <c r="DM169" s="309"/>
      <c r="DN169" s="309"/>
      <c r="DO169" s="309"/>
      <c r="DP169" s="309"/>
      <c r="DQ169" s="309"/>
      <c r="DR169" s="309"/>
      <c r="DS169" s="309"/>
      <c r="DT169" s="309"/>
      <c r="DU169" s="309"/>
      <c r="DV169" s="309"/>
      <c r="DW169" s="309"/>
      <c r="DX169" s="309"/>
      <c r="DY169" s="309"/>
      <c r="DZ169" s="309"/>
      <c r="EA169" s="309"/>
      <c r="EB169" s="309"/>
      <c r="EC169" s="309"/>
      <c r="ED169" s="309"/>
      <c r="EE169" s="309"/>
      <c r="EF169" s="309"/>
      <c r="EG169" s="309"/>
      <c r="EH169" s="309"/>
      <c r="EI169" s="309"/>
      <c r="EJ169" s="309"/>
      <c r="EK169" s="309"/>
      <c r="EL169" s="309"/>
      <c r="EM169" s="309"/>
      <c r="EN169" s="309"/>
      <c r="EO169" s="309"/>
      <c r="EP169" s="309"/>
      <c r="EQ169" s="309"/>
      <c r="ER169" s="309"/>
      <c r="ES169" s="309"/>
      <c r="ET169" s="309"/>
      <c r="EU169" s="309"/>
      <c r="EV169" s="309"/>
      <c r="EW169" s="309"/>
      <c r="EX169" s="309"/>
      <c r="EY169" s="309"/>
      <c r="EZ169" s="309"/>
      <c r="FA169" s="309"/>
      <c r="FB169" s="309"/>
      <c r="FC169" s="309"/>
      <c r="FD169" s="309"/>
      <c r="FE169" s="309"/>
      <c r="FF169" s="309"/>
      <c r="FG169" s="309"/>
      <c r="FH169" s="309"/>
      <c r="FI169" s="309"/>
      <c r="FJ169" s="309"/>
      <c r="FK169" s="309"/>
      <c r="FL169" s="309"/>
      <c r="FM169" s="309"/>
      <c r="FN169" s="309"/>
      <c r="FO169" s="309"/>
      <c r="FP169" s="309"/>
      <c r="FQ169" s="309"/>
      <c r="FR169" s="309"/>
      <c r="FS169" s="309"/>
      <c r="FT169" s="309"/>
      <c r="FU169" s="309"/>
      <c r="FV169" s="309"/>
      <c r="FW169" s="309"/>
      <c r="FX169" s="309"/>
      <c r="FY169" s="309"/>
      <c r="FZ169" s="309"/>
      <c r="GA169" s="309"/>
      <c r="GB169" s="309"/>
      <c r="GC169" s="309"/>
      <c r="GD169" s="309"/>
      <c r="GE169" s="309"/>
      <c r="GF169" s="309"/>
      <c r="GG169" s="309"/>
      <c r="GH169" s="309"/>
      <c r="GI169" s="309"/>
      <c r="GJ169" s="309"/>
      <c r="GK169" s="309"/>
      <c r="GL169" s="309"/>
      <c r="GM169" s="309"/>
      <c r="GN169" s="309"/>
      <c r="GO169" s="309"/>
      <c r="GP169" s="309"/>
      <c r="GQ169" s="309"/>
      <c r="GR169" s="309"/>
      <c r="GS169" s="309"/>
      <c r="GT169" s="309"/>
      <c r="GU169" s="309"/>
      <c r="GV169" s="309"/>
      <c r="GW169" s="309"/>
      <c r="GX169" s="309"/>
      <c r="GY169" s="309"/>
      <c r="GZ169" s="309"/>
      <c r="HA169" s="309"/>
      <c r="HB169" s="309"/>
      <c r="HC169" s="309"/>
      <c r="HD169" s="309"/>
      <c r="HE169" s="309"/>
      <c r="HF169" s="309"/>
      <c r="HG169" s="309"/>
      <c r="HH169" s="309"/>
      <c r="HI169" s="309"/>
      <c r="HJ169" s="309"/>
      <c r="HK169" s="309"/>
      <c r="HL169" s="309"/>
      <c r="HM169" s="309"/>
      <c r="HN169" s="309"/>
      <c r="HO169" s="309"/>
      <c r="HP169" s="309"/>
      <c r="HQ169" s="309"/>
      <c r="HR169" s="309"/>
      <c r="HS169" s="309"/>
      <c r="HT169" s="309"/>
      <c r="HU169" s="309"/>
      <c r="HV169" s="309"/>
      <c r="HW169" s="309"/>
      <c r="HX169" s="309"/>
      <c r="HY169" s="309"/>
      <c r="HZ169" s="309"/>
      <c r="IA169" s="309"/>
      <c r="IB169" s="309"/>
      <c r="IC169" s="309"/>
      <c r="ID169" s="309"/>
      <c r="IE169" s="309"/>
    </row>
    <row r="170" spans="1:239" ht="25.5">
      <c r="A170" s="310">
        <v>162</v>
      </c>
      <c r="B170" s="360">
        <v>43021</v>
      </c>
      <c r="C170" s="307" t="s">
        <v>517</v>
      </c>
      <c r="D170" s="310" t="s">
        <v>667</v>
      </c>
      <c r="E170" s="310">
        <v>0.4</v>
      </c>
      <c r="F170" s="355" t="s">
        <v>711</v>
      </c>
      <c r="G170" s="310" t="s">
        <v>522</v>
      </c>
      <c r="H170" s="310">
        <v>2.33</v>
      </c>
      <c r="I170" s="310">
        <v>1</v>
      </c>
      <c r="J170" s="310">
        <v>17</v>
      </c>
      <c r="K170" s="310">
        <v>1</v>
      </c>
      <c r="L170" s="348"/>
      <c r="M170" s="346">
        <f t="shared" si="10"/>
        <v>2.33</v>
      </c>
      <c r="N170" s="346">
        <f t="shared" si="11"/>
        <v>39.61</v>
      </c>
      <c r="O170" s="348"/>
      <c r="P170" s="309"/>
      <c r="Q170" s="309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/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/>
      <c r="CP170" s="309"/>
      <c r="CQ170" s="309"/>
      <c r="CR170" s="309"/>
      <c r="CS170" s="309"/>
      <c r="CT170" s="309"/>
      <c r="CU170" s="309"/>
      <c r="CV170" s="309"/>
      <c r="CW170" s="309"/>
      <c r="CX170" s="309"/>
      <c r="CY170" s="309"/>
      <c r="CZ170" s="309"/>
      <c r="DA170" s="309"/>
      <c r="DB170" s="309"/>
      <c r="DC170" s="309"/>
      <c r="DD170" s="309"/>
      <c r="DE170" s="309"/>
      <c r="DF170" s="309"/>
      <c r="DG170" s="309"/>
      <c r="DH170" s="309"/>
      <c r="DI170" s="309"/>
      <c r="DJ170" s="309"/>
      <c r="DK170" s="309"/>
      <c r="DL170" s="309"/>
      <c r="DM170" s="309"/>
      <c r="DN170" s="309"/>
      <c r="DO170" s="309"/>
      <c r="DP170" s="309"/>
      <c r="DQ170" s="309"/>
      <c r="DR170" s="309"/>
      <c r="DS170" s="309"/>
      <c r="DT170" s="309"/>
      <c r="DU170" s="309"/>
      <c r="DV170" s="309"/>
      <c r="DW170" s="309"/>
      <c r="DX170" s="309"/>
      <c r="DY170" s="309"/>
      <c r="DZ170" s="309"/>
      <c r="EA170" s="309"/>
      <c r="EB170" s="309"/>
      <c r="EC170" s="309"/>
      <c r="ED170" s="309"/>
      <c r="EE170" s="309"/>
      <c r="EF170" s="309"/>
      <c r="EG170" s="309"/>
      <c r="EH170" s="309"/>
      <c r="EI170" s="309"/>
      <c r="EJ170" s="309"/>
      <c r="EK170" s="309"/>
      <c r="EL170" s="309"/>
      <c r="EM170" s="309"/>
      <c r="EN170" s="309"/>
      <c r="EO170" s="309"/>
      <c r="EP170" s="309"/>
      <c r="EQ170" s="309"/>
      <c r="ER170" s="309"/>
      <c r="ES170" s="309"/>
      <c r="ET170" s="309"/>
      <c r="EU170" s="309"/>
      <c r="EV170" s="309"/>
      <c r="EW170" s="309"/>
      <c r="EX170" s="309"/>
      <c r="EY170" s="309"/>
      <c r="EZ170" s="309"/>
      <c r="FA170" s="309"/>
      <c r="FB170" s="309"/>
      <c r="FC170" s="309"/>
      <c r="FD170" s="309"/>
      <c r="FE170" s="309"/>
      <c r="FF170" s="309"/>
      <c r="FG170" s="309"/>
      <c r="FH170" s="309"/>
      <c r="FI170" s="309"/>
      <c r="FJ170" s="309"/>
      <c r="FK170" s="309"/>
      <c r="FL170" s="309"/>
      <c r="FM170" s="309"/>
      <c r="FN170" s="309"/>
      <c r="FO170" s="309"/>
      <c r="FP170" s="309"/>
      <c r="FQ170" s="309"/>
      <c r="FR170" s="309"/>
      <c r="FS170" s="309"/>
      <c r="FT170" s="309"/>
      <c r="FU170" s="309"/>
      <c r="FV170" s="309"/>
      <c r="FW170" s="309"/>
      <c r="FX170" s="309"/>
      <c r="FY170" s="309"/>
      <c r="FZ170" s="309"/>
      <c r="GA170" s="309"/>
      <c r="GB170" s="309"/>
      <c r="GC170" s="309"/>
      <c r="GD170" s="309"/>
      <c r="GE170" s="309"/>
      <c r="GF170" s="309"/>
      <c r="GG170" s="309"/>
      <c r="GH170" s="309"/>
      <c r="GI170" s="309"/>
      <c r="GJ170" s="309"/>
      <c r="GK170" s="309"/>
      <c r="GL170" s="309"/>
      <c r="GM170" s="309"/>
      <c r="GN170" s="309"/>
      <c r="GO170" s="309"/>
      <c r="GP170" s="309"/>
      <c r="GQ170" s="309"/>
      <c r="GR170" s="309"/>
      <c r="GS170" s="309"/>
      <c r="GT170" s="309"/>
      <c r="GU170" s="309"/>
      <c r="GV170" s="309"/>
      <c r="GW170" s="309"/>
      <c r="GX170" s="309"/>
      <c r="GY170" s="309"/>
      <c r="GZ170" s="309"/>
      <c r="HA170" s="309"/>
      <c r="HB170" s="309"/>
      <c r="HC170" s="309"/>
      <c r="HD170" s="309"/>
      <c r="HE170" s="309"/>
      <c r="HF170" s="309"/>
      <c r="HG170" s="309"/>
      <c r="HH170" s="309"/>
      <c r="HI170" s="309"/>
      <c r="HJ170" s="309"/>
      <c r="HK170" s="309"/>
      <c r="HL170" s="309"/>
      <c r="HM170" s="309"/>
      <c r="HN170" s="309"/>
      <c r="HO170" s="309"/>
      <c r="HP170" s="309"/>
      <c r="HQ170" s="309"/>
      <c r="HR170" s="309"/>
      <c r="HS170" s="309"/>
      <c r="HT170" s="309"/>
      <c r="HU170" s="309"/>
      <c r="HV170" s="309"/>
      <c r="HW170" s="309"/>
      <c r="HX170" s="309"/>
      <c r="HY170" s="309"/>
      <c r="HZ170" s="309"/>
      <c r="IA170" s="309"/>
      <c r="IB170" s="309"/>
      <c r="IC170" s="309"/>
      <c r="ID170" s="309"/>
      <c r="IE170" s="309"/>
    </row>
    <row r="171" spans="1:239" ht="25.5">
      <c r="A171" s="310">
        <v>163</v>
      </c>
      <c r="B171" s="360">
        <v>43024</v>
      </c>
      <c r="C171" s="307" t="s">
        <v>517</v>
      </c>
      <c r="D171" s="310" t="s">
        <v>668</v>
      </c>
      <c r="E171" s="310">
        <v>0.4</v>
      </c>
      <c r="F171" s="355" t="s">
        <v>711</v>
      </c>
      <c r="G171" s="310" t="s">
        <v>522</v>
      </c>
      <c r="H171" s="310">
        <v>1.92</v>
      </c>
      <c r="I171" s="310">
        <v>1</v>
      </c>
      <c r="J171" s="310">
        <v>51</v>
      </c>
      <c r="K171" s="310">
        <v>1</v>
      </c>
      <c r="L171" s="348"/>
      <c r="M171" s="346">
        <f t="shared" si="10"/>
        <v>1.92</v>
      </c>
      <c r="N171" s="346">
        <f t="shared" si="11"/>
        <v>97.92</v>
      </c>
      <c r="O171" s="348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/>
      <c r="BS171" s="309"/>
      <c r="BT171" s="309"/>
      <c r="BU171" s="309"/>
      <c r="BV171" s="309"/>
      <c r="BW171" s="309"/>
      <c r="BX171" s="309"/>
      <c r="BY171" s="309"/>
      <c r="BZ171" s="309"/>
      <c r="CA171" s="309"/>
      <c r="CB171" s="309"/>
      <c r="CC171" s="309"/>
      <c r="CD171" s="309"/>
      <c r="CE171" s="309"/>
      <c r="CF171" s="309"/>
      <c r="CG171" s="309"/>
      <c r="CH171" s="309"/>
      <c r="CI171" s="309"/>
      <c r="CJ171" s="309"/>
      <c r="CK171" s="309"/>
      <c r="CL171" s="309"/>
      <c r="CM171" s="309"/>
      <c r="CN171" s="309"/>
      <c r="CO171" s="309"/>
      <c r="CP171" s="309"/>
      <c r="CQ171" s="309"/>
      <c r="CR171" s="309"/>
      <c r="CS171" s="309"/>
      <c r="CT171" s="309"/>
      <c r="CU171" s="309"/>
      <c r="CV171" s="309"/>
      <c r="CW171" s="309"/>
      <c r="CX171" s="309"/>
      <c r="CY171" s="309"/>
      <c r="CZ171" s="309"/>
      <c r="DA171" s="309"/>
      <c r="DB171" s="309"/>
      <c r="DC171" s="309"/>
      <c r="DD171" s="309"/>
      <c r="DE171" s="309"/>
      <c r="DF171" s="309"/>
      <c r="DG171" s="309"/>
      <c r="DH171" s="309"/>
      <c r="DI171" s="309"/>
      <c r="DJ171" s="309"/>
      <c r="DK171" s="309"/>
      <c r="DL171" s="309"/>
      <c r="DM171" s="309"/>
      <c r="DN171" s="309"/>
      <c r="DO171" s="309"/>
      <c r="DP171" s="309"/>
      <c r="DQ171" s="309"/>
      <c r="DR171" s="309"/>
      <c r="DS171" s="309"/>
      <c r="DT171" s="309"/>
      <c r="DU171" s="309"/>
      <c r="DV171" s="309"/>
      <c r="DW171" s="309"/>
      <c r="DX171" s="309"/>
      <c r="DY171" s="309"/>
      <c r="DZ171" s="309"/>
      <c r="EA171" s="309"/>
      <c r="EB171" s="309"/>
      <c r="EC171" s="309"/>
      <c r="ED171" s="309"/>
      <c r="EE171" s="309"/>
      <c r="EF171" s="309"/>
      <c r="EG171" s="309"/>
      <c r="EH171" s="309"/>
      <c r="EI171" s="309"/>
      <c r="EJ171" s="309"/>
      <c r="EK171" s="309"/>
      <c r="EL171" s="309"/>
      <c r="EM171" s="309"/>
      <c r="EN171" s="309"/>
      <c r="EO171" s="309"/>
      <c r="EP171" s="309"/>
      <c r="EQ171" s="309"/>
      <c r="ER171" s="309"/>
      <c r="ES171" s="309"/>
      <c r="ET171" s="309"/>
      <c r="EU171" s="309"/>
      <c r="EV171" s="309"/>
      <c r="EW171" s="309"/>
      <c r="EX171" s="309"/>
      <c r="EY171" s="309"/>
      <c r="EZ171" s="309"/>
      <c r="FA171" s="309"/>
      <c r="FB171" s="309"/>
      <c r="FC171" s="309"/>
      <c r="FD171" s="309"/>
      <c r="FE171" s="309"/>
      <c r="FF171" s="309"/>
      <c r="FG171" s="309"/>
      <c r="FH171" s="309"/>
      <c r="FI171" s="309"/>
      <c r="FJ171" s="309"/>
      <c r="FK171" s="309"/>
      <c r="FL171" s="309"/>
      <c r="FM171" s="309"/>
      <c r="FN171" s="309"/>
      <c r="FO171" s="309"/>
      <c r="FP171" s="309"/>
      <c r="FQ171" s="309"/>
      <c r="FR171" s="309"/>
      <c r="FS171" s="309"/>
      <c r="FT171" s="309"/>
      <c r="FU171" s="309"/>
      <c r="FV171" s="309"/>
      <c r="FW171" s="309"/>
      <c r="FX171" s="309"/>
      <c r="FY171" s="309"/>
      <c r="FZ171" s="309"/>
      <c r="GA171" s="309"/>
      <c r="GB171" s="309"/>
      <c r="GC171" s="309"/>
      <c r="GD171" s="309"/>
      <c r="GE171" s="309"/>
      <c r="GF171" s="309"/>
      <c r="GG171" s="309"/>
      <c r="GH171" s="309"/>
      <c r="GI171" s="309"/>
      <c r="GJ171" s="309"/>
      <c r="GK171" s="309"/>
      <c r="GL171" s="309"/>
      <c r="GM171" s="309"/>
      <c r="GN171" s="309"/>
      <c r="GO171" s="309"/>
      <c r="GP171" s="309"/>
      <c r="GQ171" s="309"/>
      <c r="GR171" s="309"/>
      <c r="GS171" s="309"/>
      <c r="GT171" s="309"/>
      <c r="GU171" s="309"/>
      <c r="GV171" s="309"/>
      <c r="GW171" s="309"/>
      <c r="GX171" s="309"/>
      <c r="GY171" s="309"/>
      <c r="GZ171" s="309"/>
      <c r="HA171" s="309"/>
      <c r="HB171" s="309"/>
      <c r="HC171" s="309"/>
      <c r="HD171" s="309"/>
      <c r="HE171" s="309"/>
      <c r="HF171" s="309"/>
      <c r="HG171" s="309"/>
      <c r="HH171" s="309"/>
      <c r="HI171" s="309"/>
      <c r="HJ171" s="309"/>
      <c r="HK171" s="309"/>
      <c r="HL171" s="309"/>
      <c r="HM171" s="309"/>
      <c r="HN171" s="309"/>
      <c r="HO171" s="309"/>
      <c r="HP171" s="309"/>
      <c r="HQ171" s="309"/>
      <c r="HR171" s="309"/>
      <c r="HS171" s="309"/>
      <c r="HT171" s="309"/>
      <c r="HU171" s="309"/>
      <c r="HV171" s="309"/>
      <c r="HW171" s="309"/>
      <c r="HX171" s="309"/>
      <c r="HY171" s="309"/>
      <c r="HZ171" s="309"/>
      <c r="IA171" s="309"/>
      <c r="IB171" s="309"/>
      <c r="IC171" s="309"/>
      <c r="ID171" s="309"/>
      <c r="IE171" s="309"/>
    </row>
    <row r="172" spans="1:239" ht="25.5">
      <c r="A172" s="310">
        <v>164</v>
      </c>
      <c r="B172" s="360">
        <v>43025</v>
      </c>
      <c r="C172" s="307" t="s">
        <v>517</v>
      </c>
      <c r="D172" s="310" t="s">
        <v>669</v>
      </c>
      <c r="E172" s="310">
        <v>0.4</v>
      </c>
      <c r="F172" s="355" t="s">
        <v>711</v>
      </c>
      <c r="G172" s="310" t="s">
        <v>522</v>
      </c>
      <c r="H172" s="310">
        <v>4.17</v>
      </c>
      <c r="I172" s="310">
        <v>1</v>
      </c>
      <c r="J172" s="310">
        <v>10</v>
      </c>
      <c r="K172" s="310">
        <v>1</v>
      </c>
      <c r="L172" s="348"/>
      <c r="M172" s="346">
        <f t="shared" si="10"/>
        <v>4.17</v>
      </c>
      <c r="N172" s="346">
        <f t="shared" si="11"/>
        <v>41.7</v>
      </c>
      <c r="O172" s="348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/>
      <c r="BS172" s="309"/>
      <c r="BT172" s="309"/>
      <c r="BU172" s="309"/>
      <c r="BV172" s="309"/>
      <c r="BW172" s="309"/>
      <c r="BX172" s="309"/>
      <c r="BY172" s="309"/>
      <c r="BZ172" s="309"/>
      <c r="CA172" s="309"/>
      <c r="CB172" s="309"/>
      <c r="CC172" s="309"/>
      <c r="CD172" s="309"/>
      <c r="CE172" s="309"/>
      <c r="CF172" s="309"/>
      <c r="CG172" s="309"/>
      <c r="CH172" s="309"/>
      <c r="CI172" s="309"/>
      <c r="CJ172" s="309"/>
      <c r="CK172" s="309"/>
      <c r="CL172" s="309"/>
      <c r="CM172" s="309"/>
      <c r="CN172" s="309"/>
      <c r="CO172" s="309"/>
      <c r="CP172" s="309"/>
      <c r="CQ172" s="309"/>
      <c r="CR172" s="309"/>
      <c r="CS172" s="309"/>
      <c r="CT172" s="309"/>
      <c r="CU172" s="309"/>
      <c r="CV172" s="309"/>
      <c r="CW172" s="309"/>
      <c r="CX172" s="309"/>
      <c r="CY172" s="309"/>
      <c r="CZ172" s="309"/>
      <c r="DA172" s="309"/>
      <c r="DB172" s="309"/>
      <c r="DC172" s="309"/>
      <c r="DD172" s="309"/>
      <c r="DE172" s="309"/>
      <c r="DF172" s="309"/>
      <c r="DG172" s="309"/>
      <c r="DH172" s="309"/>
      <c r="DI172" s="309"/>
      <c r="DJ172" s="309"/>
      <c r="DK172" s="309"/>
      <c r="DL172" s="309"/>
      <c r="DM172" s="309"/>
      <c r="DN172" s="309"/>
      <c r="DO172" s="309"/>
      <c r="DP172" s="309"/>
      <c r="DQ172" s="309"/>
      <c r="DR172" s="309"/>
      <c r="DS172" s="309"/>
      <c r="DT172" s="309"/>
      <c r="DU172" s="309"/>
      <c r="DV172" s="309"/>
      <c r="DW172" s="309"/>
      <c r="DX172" s="309"/>
      <c r="DY172" s="309"/>
      <c r="DZ172" s="309"/>
      <c r="EA172" s="309"/>
      <c r="EB172" s="309"/>
      <c r="EC172" s="309"/>
      <c r="ED172" s="309"/>
      <c r="EE172" s="309"/>
      <c r="EF172" s="309"/>
      <c r="EG172" s="309"/>
      <c r="EH172" s="309"/>
      <c r="EI172" s="309"/>
      <c r="EJ172" s="309"/>
      <c r="EK172" s="309"/>
      <c r="EL172" s="309"/>
      <c r="EM172" s="309"/>
      <c r="EN172" s="309"/>
      <c r="EO172" s="309"/>
      <c r="EP172" s="309"/>
      <c r="EQ172" s="309"/>
      <c r="ER172" s="309"/>
      <c r="ES172" s="309"/>
      <c r="ET172" s="309"/>
      <c r="EU172" s="309"/>
      <c r="EV172" s="309"/>
      <c r="EW172" s="309"/>
      <c r="EX172" s="309"/>
      <c r="EY172" s="309"/>
      <c r="EZ172" s="309"/>
      <c r="FA172" s="309"/>
      <c r="FB172" s="309"/>
      <c r="FC172" s="309"/>
      <c r="FD172" s="309"/>
      <c r="FE172" s="309"/>
      <c r="FF172" s="309"/>
      <c r="FG172" s="309"/>
      <c r="FH172" s="309"/>
      <c r="FI172" s="309"/>
      <c r="FJ172" s="309"/>
      <c r="FK172" s="309"/>
      <c r="FL172" s="309"/>
      <c r="FM172" s="309"/>
      <c r="FN172" s="309"/>
      <c r="FO172" s="309"/>
      <c r="FP172" s="309"/>
      <c r="FQ172" s="309"/>
      <c r="FR172" s="309"/>
      <c r="FS172" s="309"/>
      <c r="FT172" s="309"/>
      <c r="FU172" s="309"/>
      <c r="FV172" s="309"/>
      <c r="FW172" s="309"/>
      <c r="FX172" s="309"/>
      <c r="FY172" s="309"/>
      <c r="FZ172" s="309"/>
      <c r="GA172" s="309"/>
      <c r="GB172" s="309"/>
      <c r="GC172" s="309"/>
      <c r="GD172" s="309"/>
      <c r="GE172" s="309"/>
      <c r="GF172" s="309"/>
      <c r="GG172" s="309"/>
      <c r="GH172" s="309"/>
      <c r="GI172" s="309"/>
      <c r="GJ172" s="309"/>
      <c r="GK172" s="309"/>
      <c r="GL172" s="309"/>
      <c r="GM172" s="309"/>
      <c r="GN172" s="309"/>
      <c r="GO172" s="309"/>
      <c r="GP172" s="309"/>
      <c r="GQ172" s="309"/>
      <c r="GR172" s="309"/>
      <c r="GS172" s="309"/>
      <c r="GT172" s="309"/>
      <c r="GU172" s="309"/>
      <c r="GV172" s="309"/>
      <c r="GW172" s="309"/>
      <c r="GX172" s="309"/>
      <c r="GY172" s="309"/>
      <c r="GZ172" s="309"/>
      <c r="HA172" s="309"/>
      <c r="HB172" s="309"/>
      <c r="HC172" s="309"/>
      <c r="HD172" s="309"/>
      <c r="HE172" s="309"/>
      <c r="HF172" s="309"/>
      <c r="HG172" s="309"/>
      <c r="HH172" s="309"/>
      <c r="HI172" s="309"/>
      <c r="HJ172" s="309"/>
      <c r="HK172" s="309"/>
      <c r="HL172" s="309"/>
      <c r="HM172" s="309"/>
      <c r="HN172" s="309"/>
      <c r="HO172" s="309"/>
      <c r="HP172" s="309"/>
      <c r="HQ172" s="309"/>
      <c r="HR172" s="309"/>
      <c r="HS172" s="309"/>
      <c r="HT172" s="309"/>
      <c r="HU172" s="309"/>
      <c r="HV172" s="309"/>
      <c r="HW172" s="309"/>
      <c r="HX172" s="309"/>
      <c r="HY172" s="309"/>
      <c r="HZ172" s="309"/>
      <c r="IA172" s="309"/>
      <c r="IB172" s="309"/>
      <c r="IC172" s="309"/>
      <c r="ID172" s="309"/>
      <c r="IE172" s="309"/>
    </row>
    <row r="173" spans="1:239" ht="25.5">
      <c r="A173" s="310">
        <v>165</v>
      </c>
      <c r="B173" s="360">
        <v>43026</v>
      </c>
      <c r="C173" s="307" t="s">
        <v>517</v>
      </c>
      <c r="D173" s="310" t="s">
        <v>670</v>
      </c>
      <c r="E173" s="310">
        <v>0.4</v>
      </c>
      <c r="F173" s="355" t="s">
        <v>711</v>
      </c>
      <c r="G173" s="310" t="s">
        <v>522</v>
      </c>
      <c r="H173" s="310">
        <v>2.75</v>
      </c>
      <c r="I173" s="310">
        <v>1</v>
      </c>
      <c r="J173" s="310">
        <v>21</v>
      </c>
      <c r="K173" s="310">
        <v>1</v>
      </c>
      <c r="L173" s="348"/>
      <c r="M173" s="346">
        <f t="shared" si="10"/>
        <v>2.75</v>
      </c>
      <c r="N173" s="346">
        <f t="shared" si="11"/>
        <v>57.75</v>
      </c>
      <c r="O173" s="348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BF173" s="309"/>
      <c r="BG173" s="309"/>
      <c r="BH173" s="309"/>
      <c r="BI173" s="309"/>
      <c r="BJ173" s="309"/>
      <c r="BK173" s="309"/>
      <c r="BL173" s="309"/>
      <c r="BM173" s="309"/>
      <c r="BN173" s="309"/>
      <c r="BO173" s="309"/>
      <c r="BP173" s="309"/>
      <c r="BQ173" s="309"/>
      <c r="BR173" s="309"/>
      <c r="BS173" s="309"/>
      <c r="BT173" s="309"/>
      <c r="BU173" s="309"/>
      <c r="BV173" s="309"/>
      <c r="BW173" s="309"/>
      <c r="BX173" s="309"/>
      <c r="BY173" s="309"/>
      <c r="BZ173" s="309"/>
      <c r="CA173" s="309"/>
      <c r="CB173" s="309"/>
      <c r="CC173" s="309"/>
      <c r="CD173" s="309"/>
      <c r="CE173" s="309"/>
      <c r="CF173" s="309"/>
      <c r="CG173" s="309"/>
      <c r="CH173" s="309"/>
      <c r="CI173" s="309"/>
      <c r="CJ173" s="309"/>
      <c r="CK173" s="309"/>
      <c r="CL173" s="309"/>
      <c r="CM173" s="309"/>
      <c r="CN173" s="309"/>
      <c r="CO173" s="309"/>
      <c r="CP173" s="309"/>
      <c r="CQ173" s="309"/>
      <c r="CR173" s="309"/>
      <c r="CS173" s="309"/>
      <c r="CT173" s="309"/>
      <c r="CU173" s="309"/>
      <c r="CV173" s="309"/>
      <c r="CW173" s="309"/>
      <c r="CX173" s="309"/>
      <c r="CY173" s="309"/>
      <c r="CZ173" s="309"/>
      <c r="DA173" s="309"/>
      <c r="DB173" s="309"/>
      <c r="DC173" s="309"/>
      <c r="DD173" s="309"/>
      <c r="DE173" s="309"/>
      <c r="DF173" s="309"/>
      <c r="DG173" s="309"/>
      <c r="DH173" s="309"/>
      <c r="DI173" s="309"/>
      <c r="DJ173" s="309"/>
      <c r="DK173" s="309"/>
      <c r="DL173" s="309"/>
      <c r="DM173" s="309"/>
      <c r="DN173" s="309"/>
      <c r="DO173" s="309"/>
      <c r="DP173" s="309"/>
      <c r="DQ173" s="309"/>
      <c r="DR173" s="309"/>
      <c r="DS173" s="309"/>
      <c r="DT173" s="309"/>
      <c r="DU173" s="309"/>
      <c r="DV173" s="309"/>
      <c r="DW173" s="309"/>
      <c r="DX173" s="309"/>
      <c r="DY173" s="309"/>
      <c r="DZ173" s="309"/>
      <c r="EA173" s="309"/>
      <c r="EB173" s="309"/>
      <c r="EC173" s="309"/>
      <c r="ED173" s="309"/>
      <c r="EE173" s="309"/>
      <c r="EF173" s="309"/>
      <c r="EG173" s="309"/>
      <c r="EH173" s="309"/>
      <c r="EI173" s="309"/>
      <c r="EJ173" s="309"/>
      <c r="EK173" s="309"/>
      <c r="EL173" s="309"/>
      <c r="EM173" s="309"/>
      <c r="EN173" s="309"/>
      <c r="EO173" s="309"/>
      <c r="EP173" s="309"/>
      <c r="EQ173" s="309"/>
      <c r="ER173" s="309"/>
      <c r="ES173" s="309"/>
      <c r="ET173" s="309"/>
      <c r="EU173" s="309"/>
      <c r="EV173" s="309"/>
      <c r="EW173" s="309"/>
      <c r="EX173" s="309"/>
      <c r="EY173" s="309"/>
      <c r="EZ173" s="309"/>
      <c r="FA173" s="309"/>
      <c r="FB173" s="309"/>
      <c r="FC173" s="309"/>
      <c r="FD173" s="309"/>
      <c r="FE173" s="309"/>
      <c r="FF173" s="309"/>
      <c r="FG173" s="309"/>
      <c r="FH173" s="309"/>
      <c r="FI173" s="309"/>
      <c r="FJ173" s="309"/>
      <c r="FK173" s="309"/>
      <c r="FL173" s="309"/>
      <c r="FM173" s="309"/>
      <c r="FN173" s="309"/>
      <c r="FO173" s="309"/>
      <c r="FP173" s="309"/>
      <c r="FQ173" s="309"/>
      <c r="FR173" s="309"/>
      <c r="FS173" s="309"/>
      <c r="FT173" s="309"/>
      <c r="FU173" s="309"/>
      <c r="FV173" s="309"/>
      <c r="FW173" s="309"/>
      <c r="FX173" s="309"/>
      <c r="FY173" s="309"/>
      <c r="FZ173" s="309"/>
      <c r="GA173" s="309"/>
      <c r="GB173" s="309"/>
      <c r="GC173" s="309"/>
      <c r="GD173" s="309"/>
      <c r="GE173" s="309"/>
      <c r="GF173" s="309"/>
      <c r="GG173" s="309"/>
      <c r="GH173" s="309"/>
      <c r="GI173" s="309"/>
      <c r="GJ173" s="309"/>
      <c r="GK173" s="309"/>
      <c r="GL173" s="309"/>
      <c r="GM173" s="309"/>
      <c r="GN173" s="309"/>
      <c r="GO173" s="309"/>
      <c r="GP173" s="309"/>
      <c r="GQ173" s="309"/>
      <c r="GR173" s="309"/>
      <c r="GS173" s="309"/>
      <c r="GT173" s="309"/>
      <c r="GU173" s="309"/>
      <c r="GV173" s="309"/>
      <c r="GW173" s="309"/>
      <c r="GX173" s="309"/>
      <c r="GY173" s="309"/>
      <c r="GZ173" s="309"/>
      <c r="HA173" s="309"/>
      <c r="HB173" s="309"/>
      <c r="HC173" s="309"/>
      <c r="HD173" s="309"/>
      <c r="HE173" s="309"/>
      <c r="HF173" s="309"/>
      <c r="HG173" s="309"/>
      <c r="HH173" s="309"/>
      <c r="HI173" s="309"/>
      <c r="HJ173" s="309"/>
      <c r="HK173" s="309"/>
      <c r="HL173" s="309"/>
      <c r="HM173" s="309"/>
      <c r="HN173" s="309"/>
      <c r="HO173" s="309"/>
      <c r="HP173" s="309"/>
      <c r="HQ173" s="309"/>
      <c r="HR173" s="309"/>
      <c r="HS173" s="309"/>
      <c r="HT173" s="309"/>
      <c r="HU173" s="309"/>
      <c r="HV173" s="309"/>
      <c r="HW173" s="309"/>
      <c r="HX173" s="309"/>
      <c r="HY173" s="309"/>
      <c r="HZ173" s="309"/>
      <c r="IA173" s="309"/>
      <c r="IB173" s="309"/>
      <c r="IC173" s="309"/>
      <c r="ID173" s="309"/>
      <c r="IE173" s="309"/>
    </row>
    <row r="174" spans="1:239" ht="25.5">
      <c r="A174" s="310">
        <v>166</v>
      </c>
      <c r="B174" s="360">
        <v>43027</v>
      </c>
      <c r="C174" s="307" t="s">
        <v>517</v>
      </c>
      <c r="D174" s="310" t="s">
        <v>671</v>
      </c>
      <c r="E174" s="310">
        <v>0.4</v>
      </c>
      <c r="F174" s="355" t="s">
        <v>711</v>
      </c>
      <c r="G174" s="310" t="s">
        <v>522</v>
      </c>
      <c r="H174" s="310">
        <v>2.92</v>
      </c>
      <c r="I174" s="310">
        <v>1</v>
      </c>
      <c r="J174" s="310">
        <v>14</v>
      </c>
      <c r="K174" s="310">
        <v>1</v>
      </c>
      <c r="L174" s="348"/>
      <c r="M174" s="346">
        <f t="shared" si="10"/>
        <v>2.92</v>
      </c>
      <c r="N174" s="346">
        <f t="shared" si="11"/>
        <v>40.879999999999995</v>
      </c>
      <c r="O174" s="348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/>
      <c r="BP174" s="309"/>
      <c r="BQ174" s="309"/>
      <c r="BR174" s="309"/>
      <c r="BS174" s="309"/>
      <c r="BT174" s="309"/>
      <c r="BU174" s="309"/>
      <c r="BV174" s="309"/>
      <c r="BW174" s="309"/>
      <c r="BX174" s="309"/>
      <c r="BY174" s="309"/>
      <c r="BZ174" s="309"/>
      <c r="CA174" s="309"/>
      <c r="CB174" s="309"/>
      <c r="CC174" s="309"/>
      <c r="CD174" s="309"/>
      <c r="CE174" s="309"/>
      <c r="CF174" s="309"/>
      <c r="CG174" s="309"/>
      <c r="CH174" s="309"/>
      <c r="CI174" s="309"/>
      <c r="CJ174" s="309"/>
      <c r="CK174" s="309"/>
      <c r="CL174" s="309"/>
      <c r="CM174" s="309"/>
      <c r="CN174" s="309"/>
      <c r="CO174" s="309"/>
      <c r="CP174" s="309"/>
      <c r="CQ174" s="309"/>
      <c r="CR174" s="309"/>
      <c r="CS174" s="309"/>
      <c r="CT174" s="309"/>
      <c r="CU174" s="309"/>
      <c r="CV174" s="309"/>
      <c r="CW174" s="309"/>
      <c r="CX174" s="309"/>
      <c r="CY174" s="309"/>
      <c r="CZ174" s="309"/>
      <c r="DA174" s="309"/>
      <c r="DB174" s="309"/>
      <c r="DC174" s="309"/>
      <c r="DD174" s="309"/>
      <c r="DE174" s="309"/>
      <c r="DF174" s="309"/>
      <c r="DG174" s="309"/>
      <c r="DH174" s="309"/>
      <c r="DI174" s="309"/>
      <c r="DJ174" s="309"/>
      <c r="DK174" s="309"/>
      <c r="DL174" s="309"/>
      <c r="DM174" s="309"/>
      <c r="DN174" s="309"/>
      <c r="DO174" s="309"/>
      <c r="DP174" s="309"/>
      <c r="DQ174" s="309"/>
      <c r="DR174" s="309"/>
      <c r="DS174" s="309"/>
      <c r="DT174" s="309"/>
      <c r="DU174" s="309"/>
      <c r="DV174" s="309"/>
      <c r="DW174" s="309"/>
      <c r="DX174" s="309"/>
      <c r="DY174" s="309"/>
      <c r="DZ174" s="309"/>
      <c r="EA174" s="309"/>
      <c r="EB174" s="309"/>
      <c r="EC174" s="309"/>
      <c r="ED174" s="309"/>
      <c r="EE174" s="309"/>
      <c r="EF174" s="309"/>
      <c r="EG174" s="309"/>
      <c r="EH174" s="309"/>
      <c r="EI174" s="309"/>
      <c r="EJ174" s="309"/>
      <c r="EK174" s="309"/>
      <c r="EL174" s="309"/>
      <c r="EM174" s="309"/>
      <c r="EN174" s="309"/>
      <c r="EO174" s="309"/>
      <c r="EP174" s="309"/>
      <c r="EQ174" s="309"/>
      <c r="ER174" s="309"/>
      <c r="ES174" s="309"/>
      <c r="ET174" s="309"/>
      <c r="EU174" s="309"/>
      <c r="EV174" s="309"/>
      <c r="EW174" s="309"/>
      <c r="EX174" s="309"/>
      <c r="EY174" s="309"/>
      <c r="EZ174" s="309"/>
      <c r="FA174" s="309"/>
      <c r="FB174" s="309"/>
      <c r="FC174" s="309"/>
      <c r="FD174" s="309"/>
      <c r="FE174" s="309"/>
      <c r="FF174" s="309"/>
      <c r="FG174" s="309"/>
      <c r="FH174" s="309"/>
      <c r="FI174" s="309"/>
      <c r="FJ174" s="309"/>
      <c r="FK174" s="309"/>
      <c r="FL174" s="309"/>
      <c r="FM174" s="309"/>
      <c r="FN174" s="309"/>
      <c r="FO174" s="309"/>
      <c r="FP174" s="309"/>
      <c r="FQ174" s="309"/>
      <c r="FR174" s="309"/>
      <c r="FS174" s="309"/>
      <c r="FT174" s="309"/>
      <c r="FU174" s="309"/>
      <c r="FV174" s="309"/>
      <c r="FW174" s="309"/>
      <c r="FX174" s="309"/>
      <c r="FY174" s="309"/>
      <c r="FZ174" s="309"/>
      <c r="GA174" s="309"/>
      <c r="GB174" s="309"/>
      <c r="GC174" s="309"/>
      <c r="GD174" s="309"/>
      <c r="GE174" s="309"/>
      <c r="GF174" s="309"/>
      <c r="GG174" s="309"/>
      <c r="GH174" s="309"/>
      <c r="GI174" s="309"/>
      <c r="GJ174" s="309"/>
      <c r="GK174" s="309"/>
      <c r="GL174" s="309"/>
      <c r="GM174" s="309"/>
      <c r="GN174" s="309"/>
      <c r="GO174" s="309"/>
      <c r="GP174" s="309"/>
      <c r="GQ174" s="309"/>
      <c r="GR174" s="309"/>
      <c r="GS174" s="309"/>
      <c r="GT174" s="309"/>
      <c r="GU174" s="309"/>
      <c r="GV174" s="309"/>
      <c r="GW174" s="309"/>
      <c r="GX174" s="309"/>
      <c r="GY174" s="309"/>
      <c r="GZ174" s="309"/>
      <c r="HA174" s="309"/>
      <c r="HB174" s="309"/>
      <c r="HC174" s="309"/>
      <c r="HD174" s="309"/>
      <c r="HE174" s="309"/>
      <c r="HF174" s="309"/>
      <c r="HG174" s="309"/>
      <c r="HH174" s="309"/>
      <c r="HI174" s="309"/>
      <c r="HJ174" s="309"/>
      <c r="HK174" s="309"/>
      <c r="HL174" s="309"/>
      <c r="HM174" s="309"/>
      <c r="HN174" s="309"/>
      <c r="HO174" s="309"/>
      <c r="HP174" s="309"/>
      <c r="HQ174" s="309"/>
      <c r="HR174" s="309"/>
      <c r="HS174" s="309"/>
      <c r="HT174" s="309"/>
      <c r="HU174" s="309"/>
      <c r="HV174" s="309"/>
      <c r="HW174" s="309"/>
      <c r="HX174" s="309"/>
      <c r="HY174" s="309"/>
      <c r="HZ174" s="309"/>
      <c r="IA174" s="309"/>
      <c r="IB174" s="309"/>
      <c r="IC174" s="309"/>
      <c r="ID174" s="309"/>
      <c r="IE174" s="309"/>
    </row>
    <row r="175" spans="1:239" ht="25.5">
      <c r="A175" s="310">
        <v>167</v>
      </c>
      <c r="B175" s="360">
        <v>43028</v>
      </c>
      <c r="C175" s="307" t="s">
        <v>517</v>
      </c>
      <c r="D175" s="310" t="s">
        <v>672</v>
      </c>
      <c r="E175" s="310">
        <v>0.4</v>
      </c>
      <c r="F175" s="355" t="s">
        <v>711</v>
      </c>
      <c r="G175" s="310" t="s">
        <v>522</v>
      </c>
      <c r="H175" s="310">
        <v>2.17</v>
      </c>
      <c r="I175" s="310">
        <v>1</v>
      </c>
      <c r="J175" s="310">
        <v>18</v>
      </c>
      <c r="K175" s="310">
        <v>1</v>
      </c>
      <c r="L175" s="348"/>
      <c r="M175" s="346">
        <f t="shared" si="10"/>
        <v>2.17</v>
      </c>
      <c r="N175" s="346">
        <f t="shared" si="11"/>
        <v>39.06</v>
      </c>
      <c r="O175" s="348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/>
      <c r="BM175" s="309"/>
      <c r="BN175" s="309"/>
      <c r="BO175" s="309"/>
      <c r="BP175" s="309"/>
      <c r="BQ175" s="309"/>
      <c r="BR175" s="309"/>
      <c r="BS175" s="309"/>
      <c r="BT175" s="309"/>
      <c r="BU175" s="309"/>
      <c r="BV175" s="309"/>
      <c r="BW175" s="309"/>
      <c r="BX175" s="309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309"/>
      <c r="CI175" s="309"/>
      <c r="CJ175" s="309"/>
      <c r="CK175" s="309"/>
      <c r="CL175" s="309"/>
      <c r="CM175" s="309"/>
      <c r="CN175" s="309"/>
      <c r="CO175" s="309"/>
      <c r="CP175" s="309"/>
      <c r="CQ175" s="309"/>
      <c r="CR175" s="309"/>
      <c r="CS175" s="309"/>
      <c r="CT175" s="309"/>
      <c r="CU175" s="309"/>
      <c r="CV175" s="309"/>
      <c r="CW175" s="309"/>
      <c r="CX175" s="309"/>
      <c r="CY175" s="309"/>
      <c r="CZ175" s="309"/>
      <c r="DA175" s="309"/>
      <c r="DB175" s="309"/>
      <c r="DC175" s="309"/>
      <c r="DD175" s="309"/>
      <c r="DE175" s="309"/>
      <c r="DF175" s="309"/>
      <c r="DG175" s="309"/>
      <c r="DH175" s="309"/>
      <c r="DI175" s="309"/>
      <c r="DJ175" s="309"/>
      <c r="DK175" s="309"/>
      <c r="DL175" s="309"/>
      <c r="DM175" s="309"/>
      <c r="DN175" s="309"/>
      <c r="DO175" s="309"/>
      <c r="DP175" s="309"/>
      <c r="DQ175" s="309"/>
      <c r="DR175" s="309"/>
      <c r="DS175" s="309"/>
      <c r="DT175" s="309"/>
      <c r="DU175" s="309"/>
      <c r="DV175" s="309"/>
      <c r="DW175" s="309"/>
      <c r="DX175" s="309"/>
      <c r="DY175" s="309"/>
      <c r="DZ175" s="309"/>
      <c r="EA175" s="309"/>
      <c r="EB175" s="309"/>
      <c r="EC175" s="309"/>
      <c r="ED175" s="309"/>
      <c r="EE175" s="309"/>
      <c r="EF175" s="309"/>
      <c r="EG175" s="309"/>
      <c r="EH175" s="309"/>
      <c r="EI175" s="309"/>
      <c r="EJ175" s="309"/>
      <c r="EK175" s="309"/>
      <c r="EL175" s="309"/>
      <c r="EM175" s="309"/>
      <c r="EN175" s="309"/>
      <c r="EO175" s="309"/>
      <c r="EP175" s="309"/>
      <c r="EQ175" s="309"/>
      <c r="ER175" s="309"/>
      <c r="ES175" s="309"/>
      <c r="ET175" s="309"/>
      <c r="EU175" s="309"/>
      <c r="EV175" s="309"/>
      <c r="EW175" s="309"/>
      <c r="EX175" s="309"/>
      <c r="EY175" s="309"/>
      <c r="EZ175" s="309"/>
      <c r="FA175" s="309"/>
      <c r="FB175" s="309"/>
      <c r="FC175" s="309"/>
      <c r="FD175" s="309"/>
      <c r="FE175" s="309"/>
      <c r="FF175" s="309"/>
      <c r="FG175" s="309"/>
      <c r="FH175" s="309"/>
      <c r="FI175" s="309"/>
      <c r="FJ175" s="309"/>
      <c r="FK175" s="309"/>
      <c r="FL175" s="309"/>
      <c r="FM175" s="309"/>
      <c r="FN175" s="309"/>
      <c r="FO175" s="309"/>
      <c r="FP175" s="309"/>
      <c r="FQ175" s="309"/>
      <c r="FR175" s="309"/>
      <c r="FS175" s="309"/>
      <c r="FT175" s="309"/>
      <c r="FU175" s="309"/>
      <c r="FV175" s="309"/>
      <c r="FW175" s="309"/>
      <c r="FX175" s="309"/>
      <c r="FY175" s="309"/>
      <c r="FZ175" s="309"/>
      <c r="GA175" s="309"/>
      <c r="GB175" s="309"/>
      <c r="GC175" s="309"/>
      <c r="GD175" s="309"/>
      <c r="GE175" s="309"/>
      <c r="GF175" s="309"/>
      <c r="GG175" s="309"/>
      <c r="GH175" s="309"/>
      <c r="GI175" s="309"/>
      <c r="GJ175" s="309"/>
      <c r="GK175" s="309"/>
      <c r="GL175" s="309"/>
      <c r="GM175" s="309"/>
      <c r="GN175" s="309"/>
      <c r="GO175" s="309"/>
      <c r="GP175" s="309"/>
      <c r="GQ175" s="309"/>
      <c r="GR175" s="309"/>
      <c r="GS175" s="309"/>
      <c r="GT175" s="309"/>
      <c r="GU175" s="309"/>
      <c r="GV175" s="309"/>
      <c r="GW175" s="309"/>
      <c r="GX175" s="309"/>
      <c r="GY175" s="309"/>
      <c r="GZ175" s="309"/>
      <c r="HA175" s="309"/>
      <c r="HB175" s="309"/>
      <c r="HC175" s="309"/>
      <c r="HD175" s="309"/>
      <c r="HE175" s="309"/>
      <c r="HF175" s="309"/>
      <c r="HG175" s="309"/>
      <c r="HH175" s="309"/>
      <c r="HI175" s="309"/>
      <c r="HJ175" s="309"/>
      <c r="HK175" s="309"/>
      <c r="HL175" s="309"/>
      <c r="HM175" s="309"/>
      <c r="HN175" s="309"/>
      <c r="HO175" s="309"/>
      <c r="HP175" s="309"/>
      <c r="HQ175" s="309"/>
      <c r="HR175" s="309"/>
      <c r="HS175" s="309"/>
      <c r="HT175" s="309"/>
      <c r="HU175" s="309"/>
      <c r="HV175" s="309"/>
      <c r="HW175" s="309"/>
      <c r="HX175" s="309"/>
      <c r="HY175" s="309"/>
      <c r="HZ175" s="309"/>
      <c r="IA175" s="309"/>
      <c r="IB175" s="309"/>
      <c r="IC175" s="309"/>
      <c r="ID175" s="309"/>
      <c r="IE175" s="309"/>
    </row>
    <row r="176" spans="1:239" ht="25.5">
      <c r="A176" s="310">
        <v>168</v>
      </c>
      <c r="B176" s="360">
        <v>43031</v>
      </c>
      <c r="C176" s="307" t="s">
        <v>517</v>
      </c>
      <c r="D176" s="310" t="s">
        <v>673</v>
      </c>
      <c r="E176" s="310">
        <v>0.4</v>
      </c>
      <c r="F176" s="355" t="s">
        <v>711</v>
      </c>
      <c r="G176" s="310" t="s">
        <v>522</v>
      </c>
      <c r="H176" s="310">
        <v>3.17</v>
      </c>
      <c r="I176" s="310">
        <v>1</v>
      </c>
      <c r="J176" s="310">
        <v>22</v>
      </c>
      <c r="K176" s="310">
        <v>1</v>
      </c>
      <c r="L176" s="348"/>
      <c r="M176" s="346">
        <f t="shared" si="10"/>
        <v>3.17</v>
      </c>
      <c r="N176" s="346">
        <f t="shared" si="11"/>
        <v>69.74</v>
      </c>
      <c r="O176" s="348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  <c r="CR176" s="309"/>
      <c r="CS176" s="309"/>
      <c r="CT176" s="309"/>
      <c r="CU176" s="309"/>
      <c r="CV176" s="309"/>
      <c r="CW176" s="309"/>
      <c r="CX176" s="309"/>
      <c r="CY176" s="309"/>
      <c r="CZ176" s="309"/>
      <c r="DA176" s="309"/>
      <c r="DB176" s="309"/>
      <c r="DC176" s="309"/>
      <c r="DD176" s="309"/>
      <c r="DE176" s="309"/>
      <c r="DF176" s="309"/>
      <c r="DG176" s="309"/>
      <c r="DH176" s="309"/>
      <c r="DI176" s="309"/>
      <c r="DJ176" s="309"/>
      <c r="DK176" s="309"/>
      <c r="DL176" s="309"/>
      <c r="DM176" s="309"/>
      <c r="DN176" s="309"/>
      <c r="DO176" s="309"/>
      <c r="DP176" s="309"/>
      <c r="DQ176" s="309"/>
      <c r="DR176" s="309"/>
      <c r="DS176" s="309"/>
      <c r="DT176" s="309"/>
      <c r="DU176" s="309"/>
      <c r="DV176" s="309"/>
      <c r="DW176" s="309"/>
      <c r="DX176" s="309"/>
      <c r="DY176" s="309"/>
      <c r="DZ176" s="309"/>
      <c r="EA176" s="309"/>
      <c r="EB176" s="309"/>
      <c r="EC176" s="309"/>
      <c r="ED176" s="309"/>
      <c r="EE176" s="309"/>
      <c r="EF176" s="309"/>
      <c r="EG176" s="309"/>
      <c r="EH176" s="309"/>
      <c r="EI176" s="309"/>
      <c r="EJ176" s="309"/>
      <c r="EK176" s="309"/>
      <c r="EL176" s="309"/>
      <c r="EM176" s="309"/>
      <c r="EN176" s="309"/>
      <c r="EO176" s="309"/>
      <c r="EP176" s="309"/>
      <c r="EQ176" s="309"/>
      <c r="ER176" s="309"/>
      <c r="ES176" s="309"/>
      <c r="ET176" s="309"/>
      <c r="EU176" s="309"/>
      <c r="EV176" s="309"/>
      <c r="EW176" s="309"/>
      <c r="EX176" s="309"/>
      <c r="EY176" s="309"/>
      <c r="EZ176" s="309"/>
      <c r="FA176" s="309"/>
      <c r="FB176" s="309"/>
      <c r="FC176" s="309"/>
      <c r="FD176" s="309"/>
      <c r="FE176" s="309"/>
      <c r="FF176" s="309"/>
      <c r="FG176" s="309"/>
      <c r="FH176" s="309"/>
      <c r="FI176" s="309"/>
      <c r="FJ176" s="309"/>
      <c r="FK176" s="309"/>
      <c r="FL176" s="309"/>
      <c r="FM176" s="309"/>
      <c r="FN176" s="309"/>
      <c r="FO176" s="309"/>
      <c r="FP176" s="309"/>
      <c r="FQ176" s="309"/>
      <c r="FR176" s="309"/>
      <c r="FS176" s="309"/>
      <c r="FT176" s="309"/>
      <c r="FU176" s="309"/>
      <c r="FV176" s="309"/>
      <c r="FW176" s="309"/>
      <c r="FX176" s="309"/>
      <c r="FY176" s="309"/>
      <c r="FZ176" s="309"/>
      <c r="GA176" s="309"/>
      <c r="GB176" s="309"/>
      <c r="GC176" s="309"/>
      <c r="GD176" s="309"/>
      <c r="GE176" s="309"/>
      <c r="GF176" s="309"/>
      <c r="GG176" s="309"/>
      <c r="GH176" s="309"/>
      <c r="GI176" s="309"/>
      <c r="GJ176" s="309"/>
      <c r="GK176" s="309"/>
      <c r="GL176" s="309"/>
      <c r="GM176" s="309"/>
      <c r="GN176" s="309"/>
      <c r="GO176" s="309"/>
      <c r="GP176" s="309"/>
      <c r="GQ176" s="309"/>
      <c r="GR176" s="309"/>
      <c r="GS176" s="309"/>
      <c r="GT176" s="309"/>
      <c r="GU176" s="309"/>
      <c r="GV176" s="309"/>
      <c r="GW176" s="309"/>
      <c r="GX176" s="309"/>
      <c r="GY176" s="309"/>
      <c r="GZ176" s="309"/>
      <c r="HA176" s="309"/>
      <c r="HB176" s="309"/>
      <c r="HC176" s="309"/>
      <c r="HD176" s="309"/>
      <c r="HE176" s="309"/>
      <c r="HF176" s="309"/>
      <c r="HG176" s="309"/>
      <c r="HH176" s="309"/>
      <c r="HI176" s="309"/>
      <c r="HJ176" s="309"/>
      <c r="HK176" s="309"/>
      <c r="HL176" s="309"/>
      <c r="HM176" s="309"/>
      <c r="HN176" s="309"/>
      <c r="HO176" s="309"/>
      <c r="HP176" s="309"/>
      <c r="HQ176" s="309"/>
      <c r="HR176" s="309"/>
      <c r="HS176" s="309"/>
      <c r="HT176" s="309"/>
      <c r="HU176" s="309"/>
      <c r="HV176" s="309"/>
      <c r="HW176" s="309"/>
      <c r="HX176" s="309"/>
      <c r="HY176" s="309"/>
      <c r="HZ176" s="309"/>
      <c r="IA176" s="309"/>
      <c r="IB176" s="309"/>
      <c r="IC176" s="309"/>
      <c r="ID176" s="309"/>
      <c r="IE176" s="309"/>
    </row>
    <row r="177" spans="1:239" ht="25.5">
      <c r="A177" s="310">
        <v>169</v>
      </c>
      <c r="B177" s="360">
        <v>43032</v>
      </c>
      <c r="C177" s="307" t="s">
        <v>517</v>
      </c>
      <c r="D177" s="310" t="s">
        <v>674</v>
      </c>
      <c r="E177" s="310">
        <v>0.4</v>
      </c>
      <c r="F177" s="355" t="s">
        <v>711</v>
      </c>
      <c r="G177" s="310" t="s">
        <v>522</v>
      </c>
      <c r="H177" s="310">
        <v>1.83</v>
      </c>
      <c r="I177" s="310">
        <v>1</v>
      </c>
      <c r="J177" s="310">
        <v>7</v>
      </c>
      <c r="K177" s="310">
        <v>1</v>
      </c>
      <c r="L177" s="348"/>
      <c r="M177" s="346">
        <f t="shared" si="10"/>
        <v>1.83</v>
      </c>
      <c r="N177" s="346">
        <f t="shared" si="11"/>
        <v>12.81</v>
      </c>
      <c r="O177" s="348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  <c r="BT177" s="309"/>
      <c r="BU177" s="309"/>
      <c r="BV177" s="309"/>
      <c r="BW177" s="309"/>
      <c r="BX177" s="309"/>
      <c r="BY177" s="309"/>
      <c r="BZ177" s="309"/>
      <c r="CA177" s="309"/>
      <c r="CB177" s="309"/>
      <c r="CC177" s="309"/>
      <c r="CD177" s="309"/>
      <c r="CE177" s="309"/>
      <c r="CF177" s="309"/>
      <c r="CG177" s="309"/>
      <c r="CH177" s="309"/>
      <c r="CI177" s="309"/>
      <c r="CJ177" s="309"/>
      <c r="CK177" s="309"/>
      <c r="CL177" s="309"/>
      <c r="CM177" s="309"/>
      <c r="CN177" s="309"/>
      <c r="CO177" s="309"/>
      <c r="CP177" s="309"/>
      <c r="CQ177" s="309"/>
      <c r="CR177" s="309"/>
      <c r="CS177" s="309"/>
      <c r="CT177" s="309"/>
      <c r="CU177" s="309"/>
      <c r="CV177" s="309"/>
      <c r="CW177" s="309"/>
      <c r="CX177" s="309"/>
      <c r="CY177" s="309"/>
      <c r="CZ177" s="309"/>
      <c r="DA177" s="309"/>
      <c r="DB177" s="309"/>
      <c r="DC177" s="309"/>
      <c r="DD177" s="309"/>
      <c r="DE177" s="309"/>
      <c r="DF177" s="309"/>
      <c r="DG177" s="309"/>
      <c r="DH177" s="309"/>
      <c r="DI177" s="309"/>
      <c r="DJ177" s="309"/>
      <c r="DK177" s="309"/>
      <c r="DL177" s="309"/>
      <c r="DM177" s="309"/>
      <c r="DN177" s="309"/>
      <c r="DO177" s="309"/>
      <c r="DP177" s="309"/>
      <c r="DQ177" s="309"/>
      <c r="DR177" s="309"/>
      <c r="DS177" s="309"/>
      <c r="DT177" s="309"/>
      <c r="DU177" s="309"/>
      <c r="DV177" s="309"/>
      <c r="DW177" s="309"/>
      <c r="DX177" s="309"/>
      <c r="DY177" s="309"/>
      <c r="DZ177" s="309"/>
      <c r="EA177" s="309"/>
      <c r="EB177" s="309"/>
      <c r="EC177" s="309"/>
      <c r="ED177" s="309"/>
      <c r="EE177" s="309"/>
      <c r="EF177" s="309"/>
      <c r="EG177" s="309"/>
      <c r="EH177" s="309"/>
      <c r="EI177" s="309"/>
      <c r="EJ177" s="309"/>
      <c r="EK177" s="309"/>
      <c r="EL177" s="309"/>
      <c r="EM177" s="309"/>
      <c r="EN177" s="309"/>
      <c r="EO177" s="309"/>
      <c r="EP177" s="309"/>
      <c r="EQ177" s="309"/>
      <c r="ER177" s="309"/>
      <c r="ES177" s="309"/>
      <c r="ET177" s="309"/>
      <c r="EU177" s="309"/>
      <c r="EV177" s="309"/>
      <c r="EW177" s="309"/>
      <c r="EX177" s="309"/>
      <c r="EY177" s="309"/>
      <c r="EZ177" s="309"/>
      <c r="FA177" s="309"/>
      <c r="FB177" s="309"/>
      <c r="FC177" s="309"/>
      <c r="FD177" s="309"/>
      <c r="FE177" s="309"/>
      <c r="FF177" s="309"/>
      <c r="FG177" s="309"/>
      <c r="FH177" s="309"/>
      <c r="FI177" s="309"/>
      <c r="FJ177" s="309"/>
      <c r="FK177" s="309"/>
      <c r="FL177" s="309"/>
      <c r="FM177" s="309"/>
      <c r="FN177" s="309"/>
      <c r="FO177" s="309"/>
      <c r="FP177" s="309"/>
      <c r="FQ177" s="309"/>
      <c r="FR177" s="309"/>
      <c r="FS177" s="309"/>
      <c r="FT177" s="309"/>
      <c r="FU177" s="309"/>
      <c r="FV177" s="309"/>
      <c r="FW177" s="309"/>
      <c r="FX177" s="309"/>
      <c r="FY177" s="309"/>
      <c r="FZ177" s="309"/>
      <c r="GA177" s="309"/>
      <c r="GB177" s="309"/>
      <c r="GC177" s="309"/>
      <c r="GD177" s="309"/>
      <c r="GE177" s="309"/>
      <c r="GF177" s="309"/>
      <c r="GG177" s="309"/>
      <c r="GH177" s="309"/>
      <c r="GI177" s="309"/>
      <c r="GJ177" s="309"/>
      <c r="GK177" s="309"/>
      <c r="GL177" s="309"/>
      <c r="GM177" s="309"/>
      <c r="GN177" s="309"/>
      <c r="GO177" s="309"/>
      <c r="GP177" s="309"/>
      <c r="GQ177" s="309"/>
      <c r="GR177" s="309"/>
      <c r="GS177" s="309"/>
      <c r="GT177" s="309"/>
      <c r="GU177" s="309"/>
      <c r="GV177" s="309"/>
      <c r="GW177" s="309"/>
      <c r="GX177" s="309"/>
      <c r="GY177" s="309"/>
      <c r="GZ177" s="309"/>
      <c r="HA177" s="309"/>
      <c r="HB177" s="309"/>
      <c r="HC177" s="309"/>
      <c r="HD177" s="309"/>
      <c r="HE177" s="309"/>
      <c r="HF177" s="309"/>
      <c r="HG177" s="309"/>
      <c r="HH177" s="309"/>
      <c r="HI177" s="309"/>
      <c r="HJ177" s="309"/>
      <c r="HK177" s="309"/>
      <c r="HL177" s="309"/>
      <c r="HM177" s="309"/>
      <c r="HN177" s="309"/>
      <c r="HO177" s="309"/>
      <c r="HP177" s="309"/>
      <c r="HQ177" s="309"/>
      <c r="HR177" s="309"/>
      <c r="HS177" s="309"/>
      <c r="HT177" s="309"/>
      <c r="HU177" s="309"/>
      <c r="HV177" s="309"/>
      <c r="HW177" s="309"/>
      <c r="HX177" s="309"/>
      <c r="HY177" s="309"/>
      <c r="HZ177" s="309"/>
      <c r="IA177" s="309"/>
      <c r="IB177" s="309"/>
      <c r="IC177" s="309"/>
      <c r="ID177" s="309"/>
      <c r="IE177" s="309"/>
    </row>
    <row r="178" spans="1:239" ht="25.5">
      <c r="A178" s="310">
        <v>170</v>
      </c>
      <c r="B178" s="360">
        <v>43033</v>
      </c>
      <c r="C178" s="307" t="s">
        <v>517</v>
      </c>
      <c r="D178" s="310" t="s">
        <v>675</v>
      </c>
      <c r="E178" s="310">
        <v>0.4</v>
      </c>
      <c r="F178" s="355" t="s">
        <v>711</v>
      </c>
      <c r="G178" s="310" t="s">
        <v>522</v>
      </c>
      <c r="H178" s="310">
        <v>4.58</v>
      </c>
      <c r="I178" s="310">
        <v>1</v>
      </c>
      <c r="J178" s="310">
        <v>21</v>
      </c>
      <c r="K178" s="310">
        <v>1</v>
      </c>
      <c r="L178" s="348"/>
      <c r="M178" s="346">
        <f t="shared" si="10"/>
        <v>4.58</v>
      </c>
      <c r="N178" s="346">
        <f t="shared" si="11"/>
        <v>96.18</v>
      </c>
      <c r="O178" s="348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09"/>
      <c r="BG178" s="309"/>
      <c r="BH178" s="309"/>
      <c r="BI178" s="309"/>
      <c r="BJ178" s="309"/>
      <c r="BK178" s="309"/>
      <c r="BL178" s="309"/>
      <c r="BM178" s="309"/>
      <c r="BN178" s="309"/>
      <c r="BO178" s="309"/>
      <c r="BP178" s="309"/>
      <c r="BQ178" s="309"/>
      <c r="BR178" s="309"/>
      <c r="BS178" s="309"/>
      <c r="BT178" s="309"/>
      <c r="BU178" s="309"/>
      <c r="BV178" s="309"/>
      <c r="BW178" s="309"/>
      <c r="BX178" s="309"/>
      <c r="BY178" s="309"/>
      <c r="BZ178" s="309"/>
      <c r="CA178" s="309"/>
      <c r="CB178" s="309"/>
      <c r="CC178" s="309"/>
      <c r="CD178" s="309"/>
      <c r="CE178" s="309"/>
      <c r="CF178" s="309"/>
      <c r="CG178" s="309"/>
      <c r="CH178" s="309"/>
      <c r="CI178" s="309"/>
      <c r="CJ178" s="309"/>
      <c r="CK178" s="309"/>
      <c r="CL178" s="309"/>
      <c r="CM178" s="309"/>
      <c r="CN178" s="309"/>
      <c r="CO178" s="309"/>
      <c r="CP178" s="309"/>
      <c r="CQ178" s="309"/>
      <c r="CR178" s="309"/>
      <c r="CS178" s="309"/>
      <c r="CT178" s="309"/>
      <c r="CU178" s="309"/>
      <c r="CV178" s="309"/>
      <c r="CW178" s="309"/>
      <c r="CX178" s="309"/>
      <c r="CY178" s="309"/>
      <c r="CZ178" s="309"/>
      <c r="DA178" s="309"/>
      <c r="DB178" s="309"/>
      <c r="DC178" s="309"/>
      <c r="DD178" s="309"/>
      <c r="DE178" s="309"/>
      <c r="DF178" s="309"/>
      <c r="DG178" s="309"/>
      <c r="DH178" s="309"/>
      <c r="DI178" s="309"/>
      <c r="DJ178" s="309"/>
      <c r="DK178" s="309"/>
      <c r="DL178" s="309"/>
      <c r="DM178" s="309"/>
      <c r="DN178" s="309"/>
      <c r="DO178" s="309"/>
      <c r="DP178" s="309"/>
      <c r="DQ178" s="309"/>
      <c r="DR178" s="309"/>
      <c r="DS178" s="309"/>
      <c r="DT178" s="309"/>
      <c r="DU178" s="309"/>
      <c r="DV178" s="309"/>
      <c r="DW178" s="309"/>
      <c r="DX178" s="309"/>
      <c r="DY178" s="309"/>
      <c r="DZ178" s="309"/>
      <c r="EA178" s="309"/>
      <c r="EB178" s="309"/>
      <c r="EC178" s="309"/>
      <c r="ED178" s="309"/>
      <c r="EE178" s="309"/>
      <c r="EF178" s="309"/>
      <c r="EG178" s="309"/>
      <c r="EH178" s="309"/>
      <c r="EI178" s="309"/>
      <c r="EJ178" s="309"/>
      <c r="EK178" s="309"/>
      <c r="EL178" s="309"/>
      <c r="EM178" s="309"/>
      <c r="EN178" s="309"/>
      <c r="EO178" s="309"/>
      <c r="EP178" s="309"/>
      <c r="EQ178" s="309"/>
      <c r="ER178" s="309"/>
      <c r="ES178" s="309"/>
      <c r="ET178" s="309"/>
      <c r="EU178" s="309"/>
      <c r="EV178" s="309"/>
      <c r="EW178" s="309"/>
      <c r="EX178" s="309"/>
      <c r="EY178" s="309"/>
      <c r="EZ178" s="309"/>
      <c r="FA178" s="309"/>
      <c r="FB178" s="309"/>
      <c r="FC178" s="309"/>
      <c r="FD178" s="309"/>
      <c r="FE178" s="309"/>
      <c r="FF178" s="309"/>
      <c r="FG178" s="309"/>
      <c r="FH178" s="309"/>
      <c r="FI178" s="309"/>
      <c r="FJ178" s="309"/>
      <c r="FK178" s="309"/>
      <c r="FL178" s="309"/>
      <c r="FM178" s="309"/>
      <c r="FN178" s="309"/>
      <c r="FO178" s="309"/>
      <c r="FP178" s="309"/>
      <c r="FQ178" s="309"/>
      <c r="FR178" s="309"/>
      <c r="FS178" s="309"/>
      <c r="FT178" s="309"/>
      <c r="FU178" s="309"/>
      <c r="FV178" s="309"/>
      <c r="FW178" s="309"/>
      <c r="FX178" s="309"/>
      <c r="FY178" s="309"/>
      <c r="FZ178" s="309"/>
      <c r="GA178" s="309"/>
      <c r="GB178" s="309"/>
      <c r="GC178" s="309"/>
      <c r="GD178" s="309"/>
      <c r="GE178" s="309"/>
      <c r="GF178" s="309"/>
      <c r="GG178" s="309"/>
      <c r="GH178" s="309"/>
      <c r="GI178" s="309"/>
      <c r="GJ178" s="309"/>
      <c r="GK178" s="309"/>
      <c r="GL178" s="309"/>
      <c r="GM178" s="309"/>
      <c r="GN178" s="309"/>
      <c r="GO178" s="309"/>
      <c r="GP178" s="309"/>
      <c r="GQ178" s="309"/>
      <c r="GR178" s="309"/>
      <c r="GS178" s="309"/>
      <c r="GT178" s="309"/>
      <c r="GU178" s="309"/>
      <c r="GV178" s="309"/>
      <c r="GW178" s="309"/>
      <c r="GX178" s="309"/>
      <c r="GY178" s="309"/>
      <c r="GZ178" s="309"/>
      <c r="HA178" s="309"/>
      <c r="HB178" s="309"/>
      <c r="HC178" s="309"/>
      <c r="HD178" s="309"/>
      <c r="HE178" s="309"/>
      <c r="HF178" s="309"/>
      <c r="HG178" s="309"/>
      <c r="HH178" s="309"/>
      <c r="HI178" s="309"/>
      <c r="HJ178" s="309"/>
      <c r="HK178" s="309"/>
      <c r="HL178" s="309"/>
      <c r="HM178" s="309"/>
      <c r="HN178" s="309"/>
      <c r="HO178" s="309"/>
      <c r="HP178" s="309"/>
      <c r="HQ178" s="309"/>
      <c r="HR178" s="309"/>
      <c r="HS178" s="309"/>
      <c r="HT178" s="309"/>
      <c r="HU178" s="309"/>
      <c r="HV178" s="309"/>
      <c r="HW178" s="309"/>
      <c r="HX178" s="309"/>
      <c r="HY178" s="309"/>
      <c r="HZ178" s="309"/>
      <c r="IA178" s="309"/>
      <c r="IB178" s="309"/>
      <c r="IC178" s="309"/>
      <c r="ID178" s="309"/>
      <c r="IE178" s="309"/>
    </row>
    <row r="179" spans="1:239" ht="25.5">
      <c r="A179" s="310">
        <v>171</v>
      </c>
      <c r="B179" s="360">
        <v>43034</v>
      </c>
      <c r="C179" s="307" t="s">
        <v>517</v>
      </c>
      <c r="D179" s="310" t="s">
        <v>676</v>
      </c>
      <c r="E179" s="310">
        <v>0.4</v>
      </c>
      <c r="F179" s="355" t="s">
        <v>711</v>
      </c>
      <c r="G179" s="310" t="s">
        <v>522</v>
      </c>
      <c r="H179" s="310">
        <v>4.42</v>
      </c>
      <c r="I179" s="310">
        <v>1</v>
      </c>
      <c r="J179" s="310">
        <v>28</v>
      </c>
      <c r="K179" s="310">
        <v>1</v>
      </c>
      <c r="L179" s="348"/>
      <c r="M179" s="346">
        <f t="shared" si="10"/>
        <v>4.42</v>
      </c>
      <c r="N179" s="346">
        <f t="shared" si="11"/>
        <v>123.75999999999999</v>
      </c>
      <c r="O179" s="348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  <c r="BT179" s="309"/>
      <c r="BU179" s="309"/>
      <c r="BV179" s="309"/>
      <c r="BW179" s="309"/>
      <c r="BX179" s="309"/>
      <c r="BY179" s="309"/>
      <c r="BZ179" s="309"/>
      <c r="CA179" s="309"/>
      <c r="CB179" s="309"/>
      <c r="CC179" s="309"/>
      <c r="CD179" s="309"/>
      <c r="CE179" s="309"/>
      <c r="CF179" s="309"/>
      <c r="CG179" s="309"/>
      <c r="CH179" s="309"/>
      <c r="CI179" s="309"/>
      <c r="CJ179" s="309"/>
      <c r="CK179" s="309"/>
      <c r="CL179" s="309"/>
      <c r="CM179" s="309"/>
      <c r="CN179" s="309"/>
      <c r="CO179" s="309"/>
      <c r="CP179" s="309"/>
      <c r="CQ179" s="309"/>
      <c r="CR179" s="309"/>
      <c r="CS179" s="309"/>
      <c r="CT179" s="309"/>
      <c r="CU179" s="309"/>
      <c r="CV179" s="309"/>
      <c r="CW179" s="309"/>
      <c r="CX179" s="309"/>
      <c r="CY179" s="309"/>
      <c r="CZ179" s="309"/>
      <c r="DA179" s="309"/>
      <c r="DB179" s="309"/>
      <c r="DC179" s="309"/>
      <c r="DD179" s="309"/>
      <c r="DE179" s="309"/>
      <c r="DF179" s="309"/>
      <c r="DG179" s="309"/>
      <c r="DH179" s="309"/>
      <c r="DI179" s="309"/>
      <c r="DJ179" s="309"/>
      <c r="DK179" s="309"/>
      <c r="DL179" s="309"/>
      <c r="DM179" s="309"/>
      <c r="DN179" s="309"/>
      <c r="DO179" s="309"/>
      <c r="DP179" s="309"/>
      <c r="DQ179" s="309"/>
      <c r="DR179" s="309"/>
      <c r="DS179" s="309"/>
      <c r="DT179" s="309"/>
      <c r="DU179" s="309"/>
      <c r="DV179" s="309"/>
      <c r="DW179" s="309"/>
      <c r="DX179" s="309"/>
      <c r="DY179" s="309"/>
      <c r="DZ179" s="309"/>
      <c r="EA179" s="309"/>
      <c r="EB179" s="309"/>
      <c r="EC179" s="309"/>
      <c r="ED179" s="309"/>
      <c r="EE179" s="309"/>
      <c r="EF179" s="309"/>
      <c r="EG179" s="309"/>
      <c r="EH179" s="309"/>
      <c r="EI179" s="309"/>
      <c r="EJ179" s="309"/>
      <c r="EK179" s="309"/>
      <c r="EL179" s="309"/>
      <c r="EM179" s="309"/>
      <c r="EN179" s="309"/>
      <c r="EO179" s="309"/>
      <c r="EP179" s="309"/>
      <c r="EQ179" s="309"/>
      <c r="ER179" s="309"/>
      <c r="ES179" s="309"/>
      <c r="ET179" s="309"/>
      <c r="EU179" s="309"/>
      <c r="EV179" s="309"/>
      <c r="EW179" s="309"/>
      <c r="EX179" s="309"/>
      <c r="EY179" s="309"/>
      <c r="EZ179" s="309"/>
      <c r="FA179" s="309"/>
      <c r="FB179" s="309"/>
      <c r="FC179" s="309"/>
      <c r="FD179" s="309"/>
      <c r="FE179" s="309"/>
      <c r="FF179" s="309"/>
      <c r="FG179" s="309"/>
      <c r="FH179" s="309"/>
      <c r="FI179" s="309"/>
      <c r="FJ179" s="309"/>
      <c r="FK179" s="309"/>
      <c r="FL179" s="309"/>
      <c r="FM179" s="309"/>
      <c r="FN179" s="309"/>
      <c r="FO179" s="309"/>
      <c r="FP179" s="309"/>
      <c r="FQ179" s="309"/>
      <c r="FR179" s="309"/>
      <c r="FS179" s="309"/>
      <c r="FT179" s="309"/>
      <c r="FU179" s="309"/>
      <c r="FV179" s="309"/>
      <c r="FW179" s="309"/>
      <c r="FX179" s="309"/>
      <c r="FY179" s="309"/>
      <c r="FZ179" s="309"/>
      <c r="GA179" s="309"/>
      <c r="GB179" s="309"/>
      <c r="GC179" s="309"/>
      <c r="GD179" s="309"/>
      <c r="GE179" s="309"/>
      <c r="GF179" s="309"/>
      <c r="GG179" s="309"/>
      <c r="GH179" s="309"/>
      <c r="GI179" s="309"/>
      <c r="GJ179" s="309"/>
      <c r="GK179" s="309"/>
      <c r="GL179" s="309"/>
      <c r="GM179" s="309"/>
      <c r="GN179" s="309"/>
      <c r="GO179" s="309"/>
      <c r="GP179" s="309"/>
      <c r="GQ179" s="309"/>
      <c r="GR179" s="309"/>
      <c r="GS179" s="309"/>
      <c r="GT179" s="309"/>
      <c r="GU179" s="309"/>
      <c r="GV179" s="309"/>
      <c r="GW179" s="309"/>
      <c r="GX179" s="309"/>
      <c r="GY179" s="309"/>
      <c r="GZ179" s="309"/>
      <c r="HA179" s="309"/>
      <c r="HB179" s="309"/>
      <c r="HC179" s="309"/>
      <c r="HD179" s="309"/>
      <c r="HE179" s="309"/>
      <c r="HF179" s="309"/>
      <c r="HG179" s="309"/>
      <c r="HH179" s="309"/>
      <c r="HI179" s="309"/>
      <c r="HJ179" s="309"/>
      <c r="HK179" s="309"/>
      <c r="HL179" s="309"/>
      <c r="HM179" s="309"/>
      <c r="HN179" s="309"/>
      <c r="HO179" s="309"/>
      <c r="HP179" s="309"/>
      <c r="HQ179" s="309"/>
      <c r="HR179" s="309"/>
      <c r="HS179" s="309"/>
      <c r="HT179" s="309"/>
      <c r="HU179" s="309"/>
      <c r="HV179" s="309"/>
      <c r="HW179" s="309"/>
      <c r="HX179" s="309"/>
      <c r="HY179" s="309"/>
      <c r="HZ179" s="309"/>
      <c r="IA179" s="309"/>
      <c r="IB179" s="309"/>
      <c r="IC179" s="309"/>
      <c r="ID179" s="309"/>
      <c r="IE179" s="309"/>
    </row>
    <row r="180" spans="1:239" ht="25.5">
      <c r="A180" s="310">
        <v>172</v>
      </c>
      <c r="B180" s="360">
        <v>43034</v>
      </c>
      <c r="C180" s="307" t="s">
        <v>517</v>
      </c>
      <c r="D180" s="310" t="s">
        <v>677</v>
      </c>
      <c r="E180" s="310">
        <v>0.4</v>
      </c>
      <c r="F180" s="355" t="s">
        <v>711</v>
      </c>
      <c r="G180" s="310" t="s">
        <v>522</v>
      </c>
      <c r="H180" s="310">
        <v>4.42</v>
      </c>
      <c r="I180" s="310">
        <v>1</v>
      </c>
      <c r="J180" s="310">
        <v>11</v>
      </c>
      <c r="K180" s="310">
        <v>1</v>
      </c>
      <c r="L180" s="348"/>
      <c r="M180" s="346">
        <f t="shared" si="10"/>
        <v>4.42</v>
      </c>
      <c r="N180" s="346">
        <f t="shared" si="11"/>
        <v>48.62</v>
      </c>
      <c r="O180" s="348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/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  <c r="BT180" s="309"/>
      <c r="BU180" s="309"/>
      <c r="BV180" s="309"/>
      <c r="BW180" s="309"/>
      <c r="BX180" s="309"/>
      <c r="BY180" s="309"/>
      <c r="BZ180" s="309"/>
      <c r="CA180" s="309"/>
      <c r="CB180" s="309"/>
      <c r="CC180" s="309"/>
      <c r="CD180" s="309"/>
      <c r="CE180" s="309"/>
      <c r="CF180" s="309"/>
      <c r="CG180" s="309"/>
      <c r="CH180" s="309"/>
      <c r="CI180" s="309"/>
      <c r="CJ180" s="309"/>
      <c r="CK180" s="309"/>
      <c r="CL180" s="309"/>
      <c r="CM180" s="309"/>
      <c r="CN180" s="309"/>
      <c r="CO180" s="309"/>
      <c r="CP180" s="309"/>
      <c r="CQ180" s="309"/>
      <c r="CR180" s="309"/>
      <c r="CS180" s="309"/>
      <c r="CT180" s="309"/>
      <c r="CU180" s="309"/>
      <c r="CV180" s="309"/>
      <c r="CW180" s="309"/>
      <c r="CX180" s="309"/>
      <c r="CY180" s="309"/>
      <c r="CZ180" s="309"/>
      <c r="DA180" s="309"/>
      <c r="DB180" s="309"/>
      <c r="DC180" s="309"/>
      <c r="DD180" s="309"/>
      <c r="DE180" s="309"/>
      <c r="DF180" s="309"/>
      <c r="DG180" s="309"/>
      <c r="DH180" s="309"/>
      <c r="DI180" s="309"/>
      <c r="DJ180" s="309"/>
      <c r="DK180" s="309"/>
      <c r="DL180" s="309"/>
      <c r="DM180" s="309"/>
      <c r="DN180" s="309"/>
      <c r="DO180" s="309"/>
      <c r="DP180" s="309"/>
      <c r="DQ180" s="309"/>
      <c r="DR180" s="309"/>
      <c r="DS180" s="309"/>
      <c r="DT180" s="309"/>
      <c r="DU180" s="309"/>
      <c r="DV180" s="309"/>
      <c r="DW180" s="309"/>
      <c r="DX180" s="309"/>
      <c r="DY180" s="309"/>
      <c r="DZ180" s="309"/>
      <c r="EA180" s="309"/>
      <c r="EB180" s="309"/>
      <c r="EC180" s="309"/>
      <c r="ED180" s="309"/>
      <c r="EE180" s="309"/>
      <c r="EF180" s="309"/>
      <c r="EG180" s="309"/>
      <c r="EH180" s="309"/>
      <c r="EI180" s="309"/>
      <c r="EJ180" s="309"/>
      <c r="EK180" s="309"/>
      <c r="EL180" s="309"/>
      <c r="EM180" s="309"/>
      <c r="EN180" s="309"/>
      <c r="EO180" s="309"/>
      <c r="EP180" s="309"/>
      <c r="EQ180" s="309"/>
      <c r="ER180" s="309"/>
      <c r="ES180" s="309"/>
      <c r="ET180" s="309"/>
      <c r="EU180" s="309"/>
      <c r="EV180" s="309"/>
      <c r="EW180" s="309"/>
      <c r="EX180" s="309"/>
      <c r="EY180" s="309"/>
      <c r="EZ180" s="309"/>
      <c r="FA180" s="309"/>
      <c r="FB180" s="309"/>
      <c r="FC180" s="309"/>
      <c r="FD180" s="309"/>
      <c r="FE180" s="309"/>
      <c r="FF180" s="309"/>
      <c r="FG180" s="309"/>
      <c r="FH180" s="309"/>
      <c r="FI180" s="309"/>
      <c r="FJ180" s="309"/>
      <c r="FK180" s="309"/>
      <c r="FL180" s="309"/>
      <c r="FM180" s="309"/>
      <c r="FN180" s="309"/>
      <c r="FO180" s="309"/>
      <c r="FP180" s="309"/>
      <c r="FQ180" s="309"/>
      <c r="FR180" s="309"/>
      <c r="FS180" s="309"/>
      <c r="FT180" s="309"/>
      <c r="FU180" s="309"/>
      <c r="FV180" s="309"/>
      <c r="FW180" s="309"/>
      <c r="FX180" s="309"/>
      <c r="FY180" s="309"/>
      <c r="FZ180" s="309"/>
      <c r="GA180" s="309"/>
      <c r="GB180" s="309"/>
      <c r="GC180" s="309"/>
      <c r="GD180" s="309"/>
      <c r="GE180" s="309"/>
      <c r="GF180" s="309"/>
      <c r="GG180" s="309"/>
      <c r="GH180" s="309"/>
      <c r="GI180" s="309"/>
      <c r="GJ180" s="309"/>
      <c r="GK180" s="309"/>
      <c r="GL180" s="309"/>
      <c r="GM180" s="309"/>
      <c r="GN180" s="309"/>
      <c r="GO180" s="309"/>
      <c r="GP180" s="309"/>
      <c r="GQ180" s="309"/>
      <c r="GR180" s="309"/>
      <c r="GS180" s="309"/>
      <c r="GT180" s="309"/>
      <c r="GU180" s="309"/>
      <c r="GV180" s="309"/>
      <c r="GW180" s="309"/>
      <c r="GX180" s="309"/>
      <c r="GY180" s="309"/>
      <c r="GZ180" s="309"/>
      <c r="HA180" s="309"/>
      <c r="HB180" s="309"/>
      <c r="HC180" s="309"/>
      <c r="HD180" s="309"/>
      <c r="HE180" s="309"/>
      <c r="HF180" s="309"/>
      <c r="HG180" s="309"/>
      <c r="HH180" s="309"/>
      <c r="HI180" s="309"/>
      <c r="HJ180" s="309"/>
      <c r="HK180" s="309"/>
      <c r="HL180" s="309"/>
      <c r="HM180" s="309"/>
      <c r="HN180" s="309"/>
      <c r="HO180" s="309"/>
      <c r="HP180" s="309"/>
      <c r="HQ180" s="309"/>
      <c r="HR180" s="309"/>
      <c r="HS180" s="309"/>
      <c r="HT180" s="309"/>
      <c r="HU180" s="309"/>
      <c r="HV180" s="309"/>
      <c r="HW180" s="309"/>
      <c r="HX180" s="309"/>
      <c r="HY180" s="309"/>
      <c r="HZ180" s="309"/>
      <c r="IA180" s="309"/>
      <c r="IB180" s="309"/>
      <c r="IC180" s="309"/>
      <c r="ID180" s="309"/>
      <c r="IE180" s="309"/>
    </row>
    <row r="181" spans="1:239" ht="25.5">
      <c r="A181" s="310">
        <v>173</v>
      </c>
      <c r="B181" s="360">
        <v>43035</v>
      </c>
      <c r="C181" s="307" t="s">
        <v>517</v>
      </c>
      <c r="D181" s="310" t="s">
        <v>678</v>
      </c>
      <c r="E181" s="310">
        <v>0.4</v>
      </c>
      <c r="F181" s="355" t="s">
        <v>711</v>
      </c>
      <c r="G181" s="310" t="s">
        <v>522</v>
      </c>
      <c r="H181" s="310">
        <v>5.58</v>
      </c>
      <c r="I181" s="310">
        <v>5</v>
      </c>
      <c r="J181" s="310">
        <v>155</v>
      </c>
      <c r="K181" s="310">
        <v>1</v>
      </c>
      <c r="L181" s="348"/>
      <c r="M181" s="346">
        <f t="shared" si="10"/>
        <v>27.9</v>
      </c>
      <c r="N181" s="346">
        <f t="shared" si="11"/>
        <v>864.9</v>
      </c>
      <c r="O181" s="348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09"/>
      <c r="BU181" s="309"/>
      <c r="BV181" s="309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DI181" s="309"/>
      <c r="DJ181" s="309"/>
      <c r="DK181" s="309"/>
      <c r="DL181" s="309"/>
      <c r="DM181" s="309"/>
      <c r="DN181" s="309"/>
      <c r="DO181" s="309"/>
      <c r="DP181" s="309"/>
      <c r="DQ181" s="309"/>
      <c r="DR181" s="309"/>
      <c r="DS181" s="309"/>
      <c r="DT181" s="309"/>
      <c r="DU181" s="309"/>
      <c r="DV181" s="309"/>
      <c r="DW181" s="309"/>
      <c r="DX181" s="309"/>
      <c r="DY181" s="309"/>
      <c r="DZ181" s="309"/>
      <c r="EA181" s="309"/>
      <c r="EB181" s="309"/>
      <c r="EC181" s="309"/>
      <c r="ED181" s="309"/>
      <c r="EE181" s="309"/>
      <c r="EF181" s="309"/>
      <c r="EG181" s="309"/>
      <c r="EH181" s="309"/>
      <c r="EI181" s="309"/>
      <c r="EJ181" s="309"/>
      <c r="EK181" s="309"/>
      <c r="EL181" s="309"/>
      <c r="EM181" s="309"/>
      <c r="EN181" s="309"/>
      <c r="EO181" s="309"/>
      <c r="EP181" s="309"/>
      <c r="EQ181" s="309"/>
      <c r="ER181" s="309"/>
      <c r="ES181" s="309"/>
      <c r="ET181" s="309"/>
      <c r="EU181" s="309"/>
      <c r="EV181" s="309"/>
      <c r="EW181" s="309"/>
      <c r="EX181" s="309"/>
      <c r="EY181" s="309"/>
      <c r="EZ181" s="309"/>
      <c r="FA181" s="309"/>
      <c r="FB181" s="309"/>
      <c r="FC181" s="309"/>
      <c r="FD181" s="309"/>
      <c r="FE181" s="309"/>
      <c r="FF181" s="309"/>
      <c r="FG181" s="309"/>
      <c r="FH181" s="309"/>
      <c r="FI181" s="309"/>
      <c r="FJ181" s="309"/>
      <c r="FK181" s="309"/>
      <c r="FL181" s="309"/>
      <c r="FM181" s="309"/>
      <c r="FN181" s="309"/>
      <c r="FO181" s="309"/>
      <c r="FP181" s="309"/>
      <c r="FQ181" s="309"/>
      <c r="FR181" s="309"/>
      <c r="FS181" s="309"/>
      <c r="FT181" s="309"/>
      <c r="FU181" s="309"/>
      <c r="FV181" s="309"/>
      <c r="FW181" s="309"/>
      <c r="FX181" s="309"/>
      <c r="FY181" s="309"/>
      <c r="FZ181" s="309"/>
      <c r="GA181" s="309"/>
      <c r="GB181" s="309"/>
      <c r="GC181" s="309"/>
      <c r="GD181" s="309"/>
      <c r="GE181" s="309"/>
      <c r="GF181" s="309"/>
      <c r="GG181" s="309"/>
      <c r="GH181" s="309"/>
      <c r="GI181" s="309"/>
      <c r="GJ181" s="309"/>
      <c r="GK181" s="309"/>
      <c r="GL181" s="309"/>
      <c r="GM181" s="309"/>
      <c r="GN181" s="309"/>
      <c r="GO181" s="309"/>
      <c r="GP181" s="309"/>
      <c r="GQ181" s="309"/>
      <c r="GR181" s="309"/>
      <c r="GS181" s="309"/>
      <c r="GT181" s="309"/>
      <c r="GU181" s="309"/>
      <c r="GV181" s="309"/>
      <c r="GW181" s="309"/>
      <c r="GX181" s="309"/>
      <c r="GY181" s="309"/>
      <c r="GZ181" s="309"/>
      <c r="HA181" s="309"/>
      <c r="HB181" s="309"/>
      <c r="HC181" s="309"/>
      <c r="HD181" s="309"/>
      <c r="HE181" s="309"/>
      <c r="HF181" s="309"/>
      <c r="HG181" s="309"/>
      <c r="HH181" s="309"/>
      <c r="HI181" s="309"/>
      <c r="HJ181" s="309"/>
      <c r="HK181" s="309"/>
      <c r="HL181" s="309"/>
      <c r="HM181" s="309"/>
      <c r="HN181" s="309"/>
      <c r="HO181" s="309"/>
      <c r="HP181" s="309"/>
      <c r="HQ181" s="309"/>
      <c r="HR181" s="309"/>
      <c r="HS181" s="309"/>
      <c r="HT181" s="309"/>
      <c r="HU181" s="309"/>
      <c r="HV181" s="309"/>
      <c r="HW181" s="309"/>
      <c r="HX181" s="309"/>
      <c r="HY181" s="309"/>
      <c r="HZ181" s="309"/>
      <c r="IA181" s="309"/>
      <c r="IB181" s="309"/>
      <c r="IC181" s="309"/>
      <c r="ID181" s="309"/>
      <c r="IE181" s="309"/>
    </row>
    <row r="182" spans="1:239" ht="25.5">
      <c r="A182" s="310">
        <v>174</v>
      </c>
      <c r="B182" s="360">
        <v>43041</v>
      </c>
      <c r="C182" s="307" t="s">
        <v>517</v>
      </c>
      <c r="D182" s="310" t="s">
        <v>679</v>
      </c>
      <c r="E182" s="310">
        <v>10</v>
      </c>
      <c r="F182" s="355" t="s">
        <v>711</v>
      </c>
      <c r="G182" s="310" t="s">
        <v>522</v>
      </c>
      <c r="H182" s="310">
        <v>6</v>
      </c>
      <c r="I182" s="310">
        <v>4</v>
      </c>
      <c r="J182" s="310">
        <v>69.96</v>
      </c>
      <c r="K182" s="310">
        <v>1</v>
      </c>
      <c r="L182" s="349"/>
      <c r="M182" s="346">
        <f t="shared" si="10"/>
        <v>24</v>
      </c>
      <c r="N182" s="346">
        <f t="shared" si="11"/>
        <v>419.76</v>
      </c>
      <c r="O182" s="348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  <c r="BT182" s="309"/>
      <c r="BU182" s="309"/>
      <c r="BV182" s="309"/>
      <c r="BW182" s="309"/>
      <c r="BX182" s="309"/>
      <c r="BY182" s="309"/>
      <c r="BZ182" s="309"/>
      <c r="CA182" s="309"/>
      <c r="CB182" s="309"/>
      <c r="CC182" s="309"/>
      <c r="CD182" s="309"/>
      <c r="CE182" s="309"/>
      <c r="CF182" s="309"/>
      <c r="CG182" s="309"/>
      <c r="CH182" s="309"/>
      <c r="CI182" s="309"/>
      <c r="CJ182" s="309"/>
      <c r="CK182" s="309"/>
      <c r="CL182" s="309"/>
      <c r="CM182" s="309"/>
      <c r="CN182" s="309"/>
      <c r="CO182" s="309"/>
      <c r="CP182" s="309"/>
      <c r="CQ182" s="309"/>
      <c r="CR182" s="309"/>
      <c r="CS182" s="309"/>
      <c r="CT182" s="309"/>
      <c r="CU182" s="309"/>
      <c r="CV182" s="309"/>
      <c r="CW182" s="309"/>
      <c r="CX182" s="309"/>
      <c r="CY182" s="309"/>
      <c r="CZ182" s="309"/>
      <c r="DA182" s="309"/>
      <c r="DB182" s="309"/>
      <c r="DC182" s="309"/>
      <c r="DD182" s="309"/>
      <c r="DE182" s="309"/>
      <c r="DF182" s="309"/>
      <c r="DG182" s="309"/>
      <c r="DH182" s="309"/>
      <c r="DI182" s="309"/>
      <c r="DJ182" s="309"/>
      <c r="DK182" s="309"/>
      <c r="DL182" s="309"/>
      <c r="DM182" s="309"/>
      <c r="DN182" s="309"/>
      <c r="DO182" s="309"/>
      <c r="DP182" s="309"/>
      <c r="DQ182" s="309"/>
      <c r="DR182" s="309"/>
      <c r="DS182" s="309"/>
      <c r="DT182" s="309"/>
      <c r="DU182" s="309"/>
      <c r="DV182" s="309"/>
      <c r="DW182" s="309"/>
      <c r="DX182" s="309"/>
      <c r="DY182" s="309"/>
      <c r="DZ182" s="309"/>
      <c r="EA182" s="309"/>
      <c r="EB182" s="309"/>
      <c r="EC182" s="309"/>
      <c r="ED182" s="309"/>
      <c r="EE182" s="309"/>
      <c r="EF182" s="309"/>
      <c r="EG182" s="309"/>
      <c r="EH182" s="309"/>
      <c r="EI182" s="309"/>
      <c r="EJ182" s="309"/>
      <c r="EK182" s="309"/>
      <c r="EL182" s="309"/>
      <c r="EM182" s="309"/>
      <c r="EN182" s="309"/>
      <c r="EO182" s="309"/>
      <c r="EP182" s="309"/>
      <c r="EQ182" s="309"/>
      <c r="ER182" s="309"/>
      <c r="ES182" s="309"/>
      <c r="ET182" s="309"/>
      <c r="EU182" s="309"/>
      <c r="EV182" s="309"/>
      <c r="EW182" s="309"/>
      <c r="EX182" s="309"/>
      <c r="EY182" s="309"/>
      <c r="EZ182" s="309"/>
      <c r="FA182" s="309"/>
      <c r="FB182" s="309"/>
      <c r="FC182" s="309"/>
      <c r="FD182" s="309"/>
      <c r="FE182" s="309"/>
      <c r="FF182" s="309"/>
      <c r="FG182" s="309"/>
      <c r="FH182" s="309"/>
      <c r="FI182" s="309"/>
      <c r="FJ182" s="309"/>
      <c r="FK182" s="309"/>
      <c r="FL182" s="309"/>
      <c r="FM182" s="309"/>
      <c r="FN182" s="309"/>
      <c r="FO182" s="309"/>
      <c r="FP182" s="309"/>
      <c r="FQ182" s="309"/>
      <c r="FR182" s="309"/>
      <c r="FS182" s="309"/>
      <c r="FT182" s="309"/>
      <c r="FU182" s="309"/>
      <c r="FV182" s="309"/>
      <c r="FW182" s="309"/>
      <c r="FX182" s="309"/>
      <c r="FY182" s="309"/>
      <c r="FZ182" s="309"/>
      <c r="GA182" s="309"/>
      <c r="GB182" s="309"/>
      <c r="GC182" s="309"/>
      <c r="GD182" s="309"/>
      <c r="GE182" s="309"/>
      <c r="GF182" s="309"/>
      <c r="GG182" s="309"/>
      <c r="GH182" s="309"/>
      <c r="GI182" s="309"/>
      <c r="GJ182" s="309"/>
      <c r="GK182" s="309"/>
      <c r="GL182" s="309"/>
      <c r="GM182" s="309"/>
      <c r="GN182" s="309"/>
      <c r="GO182" s="309"/>
      <c r="GP182" s="309"/>
      <c r="GQ182" s="309"/>
      <c r="GR182" s="309"/>
      <c r="GS182" s="309"/>
      <c r="GT182" s="309"/>
      <c r="GU182" s="309"/>
      <c r="GV182" s="309"/>
      <c r="GW182" s="309"/>
      <c r="GX182" s="309"/>
      <c r="GY182" s="309"/>
      <c r="GZ182" s="309"/>
      <c r="HA182" s="309"/>
      <c r="HB182" s="309"/>
      <c r="HC182" s="309"/>
      <c r="HD182" s="309"/>
      <c r="HE182" s="309"/>
      <c r="HF182" s="309"/>
      <c r="HG182" s="309"/>
      <c r="HH182" s="309"/>
      <c r="HI182" s="309"/>
      <c r="HJ182" s="309"/>
      <c r="HK182" s="309"/>
      <c r="HL182" s="309"/>
      <c r="HM182" s="309"/>
      <c r="HN182" s="309"/>
      <c r="HO182" s="309"/>
      <c r="HP182" s="309"/>
      <c r="HQ182" s="309"/>
      <c r="HR182" s="309"/>
      <c r="HS182" s="309"/>
      <c r="HT182" s="309"/>
      <c r="HU182" s="309"/>
      <c r="HV182" s="309"/>
      <c r="HW182" s="309"/>
      <c r="HX182" s="309"/>
      <c r="HY182" s="309"/>
      <c r="HZ182" s="309"/>
      <c r="IA182" s="309"/>
      <c r="IB182" s="309"/>
      <c r="IC182" s="309"/>
      <c r="ID182" s="309"/>
      <c r="IE182" s="309"/>
    </row>
    <row r="183" spans="1:239" ht="25.5">
      <c r="A183" s="310">
        <v>175</v>
      </c>
      <c r="B183" s="360">
        <v>43062</v>
      </c>
      <c r="C183" s="307" t="s">
        <v>517</v>
      </c>
      <c r="D183" s="310" t="s">
        <v>680</v>
      </c>
      <c r="E183" s="310">
        <v>10</v>
      </c>
      <c r="F183" s="355" t="s">
        <v>711</v>
      </c>
      <c r="G183" s="310" t="s">
        <v>516</v>
      </c>
      <c r="H183" s="310">
        <v>5.25</v>
      </c>
      <c r="I183" s="310">
        <v>3</v>
      </c>
      <c r="J183" s="310">
        <v>48.59</v>
      </c>
      <c r="K183" s="310">
        <v>1</v>
      </c>
      <c r="L183" s="349"/>
      <c r="M183" s="346">
        <f t="shared" si="10"/>
        <v>15.75</v>
      </c>
      <c r="N183" s="346">
        <f t="shared" si="11"/>
        <v>255.09750000000003</v>
      </c>
      <c r="O183" s="348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309"/>
      <c r="BB183" s="309"/>
      <c r="BC183" s="309"/>
      <c r="BD183" s="309"/>
      <c r="BE183" s="309"/>
      <c r="BF183" s="309"/>
      <c r="BG183" s="309"/>
      <c r="BH183" s="309"/>
      <c r="BI183" s="309"/>
      <c r="BJ183" s="309"/>
      <c r="BK183" s="309"/>
      <c r="BL183" s="309"/>
      <c r="BM183" s="309"/>
      <c r="BN183" s="309"/>
      <c r="BO183" s="309"/>
      <c r="BP183" s="309"/>
      <c r="BQ183" s="309"/>
      <c r="BR183" s="309"/>
      <c r="BS183" s="309"/>
      <c r="BT183" s="309"/>
      <c r="BU183" s="309"/>
      <c r="BV183" s="309"/>
      <c r="BW183" s="309"/>
      <c r="BX183" s="309"/>
      <c r="BY183" s="309"/>
      <c r="BZ183" s="309"/>
      <c r="CA183" s="309"/>
      <c r="CB183" s="309"/>
      <c r="CC183" s="309"/>
      <c r="CD183" s="309"/>
      <c r="CE183" s="309"/>
      <c r="CF183" s="309"/>
      <c r="CG183" s="309"/>
      <c r="CH183" s="309"/>
      <c r="CI183" s="309"/>
      <c r="CJ183" s="309"/>
      <c r="CK183" s="309"/>
      <c r="CL183" s="309"/>
      <c r="CM183" s="309"/>
      <c r="CN183" s="309"/>
      <c r="CO183" s="309"/>
      <c r="CP183" s="309"/>
      <c r="CQ183" s="309"/>
      <c r="CR183" s="309"/>
      <c r="CS183" s="309"/>
      <c r="CT183" s="309"/>
      <c r="CU183" s="309"/>
      <c r="CV183" s="309"/>
      <c r="CW183" s="309"/>
      <c r="CX183" s="309"/>
      <c r="CY183" s="309"/>
      <c r="CZ183" s="309"/>
      <c r="DA183" s="309"/>
      <c r="DB183" s="309"/>
      <c r="DC183" s="309"/>
      <c r="DD183" s="309"/>
      <c r="DE183" s="309"/>
      <c r="DF183" s="309"/>
      <c r="DG183" s="309"/>
      <c r="DH183" s="309"/>
      <c r="DI183" s="309"/>
      <c r="DJ183" s="309"/>
      <c r="DK183" s="309"/>
      <c r="DL183" s="309"/>
      <c r="DM183" s="309"/>
      <c r="DN183" s="309"/>
      <c r="DO183" s="309"/>
      <c r="DP183" s="309"/>
      <c r="DQ183" s="309"/>
      <c r="DR183" s="309"/>
      <c r="DS183" s="309"/>
      <c r="DT183" s="309"/>
      <c r="DU183" s="309"/>
      <c r="DV183" s="309"/>
      <c r="DW183" s="309"/>
      <c r="DX183" s="309"/>
      <c r="DY183" s="309"/>
      <c r="DZ183" s="309"/>
      <c r="EA183" s="309"/>
      <c r="EB183" s="309"/>
      <c r="EC183" s="309"/>
      <c r="ED183" s="309"/>
      <c r="EE183" s="309"/>
      <c r="EF183" s="309"/>
      <c r="EG183" s="309"/>
      <c r="EH183" s="309"/>
      <c r="EI183" s="309"/>
      <c r="EJ183" s="309"/>
      <c r="EK183" s="309"/>
      <c r="EL183" s="309"/>
      <c r="EM183" s="309"/>
      <c r="EN183" s="309"/>
      <c r="EO183" s="309"/>
      <c r="EP183" s="309"/>
      <c r="EQ183" s="309"/>
      <c r="ER183" s="309"/>
      <c r="ES183" s="309"/>
      <c r="ET183" s="309"/>
      <c r="EU183" s="309"/>
      <c r="EV183" s="309"/>
      <c r="EW183" s="309"/>
      <c r="EX183" s="309"/>
      <c r="EY183" s="309"/>
      <c r="EZ183" s="309"/>
      <c r="FA183" s="309"/>
      <c r="FB183" s="309"/>
      <c r="FC183" s="309"/>
      <c r="FD183" s="309"/>
      <c r="FE183" s="309"/>
      <c r="FF183" s="309"/>
      <c r="FG183" s="309"/>
      <c r="FH183" s="309"/>
      <c r="FI183" s="309"/>
      <c r="FJ183" s="309"/>
      <c r="FK183" s="309"/>
      <c r="FL183" s="309"/>
      <c r="FM183" s="309"/>
      <c r="FN183" s="309"/>
      <c r="FO183" s="309"/>
      <c r="FP183" s="309"/>
      <c r="FQ183" s="309"/>
      <c r="FR183" s="309"/>
      <c r="FS183" s="309"/>
      <c r="FT183" s="309"/>
      <c r="FU183" s="309"/>
      <c r="FV183" s="309"/>
      <c r="FW183" s="309"/>
      <c r="FX183" s="309"/>
      <c r="FY183" s="309"/>
      <c r="FZ183" s="309"/>
      <c r="GA183" s="309"/>
      <c r="GB183" s="309"/>
      <c r="GC183" s="309"/>
      <c r="GD183" s="309"/>
      <c r="GE183" s="309"/>
      <c r="GF183" s="309"/>
      <c r="GG183" s="309"/>
      <c r="GH183" s="309"/>
      <c r="GI183" s="309"/>
      <c r="GJ183" s="309"/>
      <c r="GK183" s="309"/>
      <c r="GL183" s="309"/>
      <c r="GM183" s="309"/>
      <c r="GN183" s="309"/>
      <c r="GO183" s="309"/>
      <c r="GP183" s="309"/>
      <c r="GQ183" s="309"/>
      <c r="GR183" s="309"/>
      <c r="GS183" s="309"/>
      <c r="GT183" s="309"/>
      <c r="GU183" s="309"/>
      <c r="GV183" s="309"/>
      <c r="GW183" s="309"/>
      <c r="GX183" s="309"/>
      <c r="GY183" s="309"/>
      <c r="GZ183" s="309"/>
      <c r="HA183" s="309"/>
      <c r="HB183" s="309"/>
      <c r="HC183" s="309"/>
      <c r="HD183" s="309"/>
      <c r="HE183" s="309"/>
      <c r="HF183" s="309"/>
      <c r="HG183" s="309"/>
      <c r="HH183" s="309"/>
      <c r="HI183" s="309"/>
      <c r="HJ183" s="309"/>
      <c r="HK183" s="309"/>
      <c r="HL183" s="309"/>
      <c r="HM183" s="309"/>
      <c r="HN183" s="309"/>
      <c r="HO183" s="309"/>
      <c r="HP183" s="309"/>
      <c r="HQ183" s="309"/>
      <c r="HR183" s="309"/>
      <c r="HS183" s="309"/>
      <c r="HT183" s="309"/>
      <c r="HU183" s="309"/>
      <c r="HV183" s="309"/>
      <c r="HW183" s="309"/>
      <c r="HX183" s="309"/>
      <c r="HY183" s="309"/>
      <c r="HZ183" s="309"/>
      <c r="IA183" s="309"/>
      <c r="IB183" s="309"/>
      <c r="IC183" s="309"/>
      <c r="ID183" s="309"/>
      <c r="IE183" s="309"/>
    </row>
    <row r="184" spans="1:239" ht="25.5">
      <c r="A184" s="310">
        <v>176</v>
      </c>
      <c r="B184" s="360">
        <v>43069</v>
      </c>
      <c r="C184" s="307" t="s">
        <v>517</v>
      </c>
      <c r="D184" s="310" t="s">
        <v>680</v>
      </c>
      <c r="E184" s="310">
        <v>10</v>
      </c>
      <c r="F184" s="355" t="s">
        <v>711</v>
      </c>
      <c r="G184" s="310" t="s">
        <v>522</v>
      </c>
      <c r="H184" s="310">
        <v>1.08</v>
      </c>
      <c r="I184" s="310">
        <v>3</v>
      </c>
      <c r="J184" s="310">
        <v>48.59</v>
      </c>
      <c r="K184" s="310">
        <v>1</v>
      </c>
      <c r="L184" s="349"/>
      <c r="M184" s="346">
        <f t="shared" si="10"/>
        <v>3.24</v>
      </c>
      <c r="N184" s="346">
        <f t="shared" si="11"/>
        <v>52.47720000000001</v>
      </c>
      <c r="O184" s="348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/>
      <c r="BD184" s="309"/>
      <c r="BE184" s="309"/>
      <c r="BF184" s="309"/>
      <c r="BG184" s="309"/>
      <c r="BH184" s="309"/>
      <c r="BI184" s="309"/>
      <c r="BJ184" s="309"/>
      <c r="BK184" s="309"/>
      <c r="BL184" s="309"/>
      <c r="BM184" s="309"/>
      <c r="BN184" s="309"/>
      <c r="BO184" s="309"/>
      <c r="BP184" s="309"/>
      <c r="BQ184" s="309"/>
      <c r="BR184" s="309"/>
      <c r="BS184" s="309"/>
      <c r="BT184" s="309"/>
      <c r="BU184" s="309"/>
      <c r="BV184" s="309"/>
      <c r="BW184" s="309"/>
      <c r="BX184" s="309"/>
      <c r="BY184" s="309"/>
      <c r="BZ184" s="309"/>
      <c r="CA184" s="309"/>
      <c r="CB184" s="309"/>
      <c r="CC184" s="309"/>
      <c r="CD184" s="309"/>
      <c r="CE184" s="309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  <c r="CR184" s="309"/>
      <c r="CS184" s="309"/>
      <c r="CT184" s="309"/>
      <c r="CU184" s="309"/>
      <c r="CV184" s="309"/>
      <c r="CW184" s="309"/>
      <c r="CX184" s="309"/>
      <c r="CY184" s="309"/>
      <c r="CZ184" s="309"/>
      <c r="DA184" s="309"/>
      <c r="DB184" s="309"/>
      <c r="DC184" s="309"/>
      <c r="DD184" s="309"/>
      <c r="DE184" s="309"/>
      <c r="DF184" s="309"/>
      <c r="DG184" s="309"/>
      <c r="DH184" s="309"/>
      <c r="DI184" s="309"/>
      <c r="DJ184" s="309"/>
      <c r="DK184" s="309"/>
      <c r="DL184" s="309"/>
      <c r="DM184" s="309"/>
      <c r="DN184" s="309"/>
      <c r="DO184" s="309"/>
      <c r="DP184" s="309"/>
      <c r="DQ184" s="309"/>
      <c r="DR184" s="309"/>
      <c r="DS184" s="309"/>
      <c r="DT184" s="309"/>
      <c r="DU184" s="309"/>
      <c r="DV184" s="309"/>
      <c r="DW184" s="309"/>
      <c r="DX184" s="309"/>
      <c r="DY184" s="309"/>
      <c r="DZ184" s="309"/>
      <c r="EA184" s="309"/>
      <c r="EB184" s="309"/>
      <c r="EC184" s="309"/>
      <c r="ED184" s="309"/>
      <c r="EE184" s="309"/>
      <c r="EF184" s="309"/>
      <c r="EG184" s="309"/>
      <c r="EH184" s="309"/>
      <c r="EI184" s="309"/>
      <c r="EJ184" s="309"/>
      <c r="EK184" s="309"/>
      <c r="EL184" s="309"/>
      <c r="EM184" s="309"/>
      <c r="EN184" s="309"/>
      <c r="EO184" s="309"/>
      <c r="EP184" s="309"/>
      <c r="EQ184" s="309"/>
      <c r="ER184" s="309"/>
      <c r="ES184" s="309"/>
      <c r="ET184" s="309"/>
      <c r="EU184" s="309"/>
      <c r="EV184" s="309"/>
      <c r="EW184" s="309"/>
      <c r="EX184" s="309"/>
      <c r="EY184" s="309"/>
      <c r="EZ184" s="309"/>
      <c r="FA184" s="309"/>
      <c r="FB184" s="309"/>
      <c r="FC184" s="309"/>
      <c r="FD184" s="309"/>
      <c r="FE184" s="309"/>
      <c r="FF184" s="309"/>
      <c r="FG184" s="309"/>
      <c r="FH184" s="309"/>
      <c r="FI184" s="309"/>
      <c r="FJ184" s="309"/>
      <c r="FK184" s="309"/>
      <c r="FL184" s="309"/>
      <c r="FM184" s="309"/>
      <c r="FN184" s="309"/>
      <c r="FO184" s="309"/>
      <c r="FP184" s="309"/>
      <c r="FQ184" s="309"/>
      <c r="FR184" s="309"/>
      <c r="FS184" s="309"/>
      <c r="FT184" s="309"/>
      <c r="FU184" s="309"/>
      <c r="FV184" s="309"/>
      <c r="FW184" s="309"/>
      <c r="FX184" s="309"/>
      <c r="FY184" s="309"/>
      <c r="FZ184" s="309"/>
      <c r="GA184" s="309"/>
      <c r="GB184" s="309"/>
      <c r="GC184" s="309"/>
      <c r="GD184" s="309"/>
      <c r="GE184" s="309"/>
      <c r="GF184" s="309"/>
      <c r="GG184" s="309"/>
      <c r="GH184" s="309"/>
      <c r="GI184" s="309"/>
      <c r="GJ184" s="309"/>
      <c r="GK184" s="309"/>
      <c r="GL184" s="309"/>
      <c r="GM184" s="309"/>
      <c r="GN184" s="309"/>
      <c r="GO184" s="309"/>
      <c r="GP184" s="309"/>
      <c r="GQ184" s="309"/>
      <c r="GR184" s="309"/>
      <c r="GS184" s="309"/>
      <c r="GT184" s="309"/>
      <c r="GU184" s="309"/>
      <c r="GV184" s="309"/>
      <c r="GW184" s="309"/>
      <c r="GX184" s="309"/>
      <c r="GY184" s="309"/>
      <c r="GZ184" s="309"/>
      <c r="HA184" s="309"/>
      <c r="HB184" s="309"/>
      <c r="HC184" s="309"/>
      <c r="HD184" s="309"/>
      <c r="HE184" s="309"/>
      <c r="HF184" s="309"/>
      <c r="HG184" s="309"/>
      <c r="HH184" s="309"/>
      <c r="HI184" s="309"/>
      <c r="HJ184" s="309"/>
      <c r="HK184" s="309"/>
      <c r="HL184" s="309"/>
      <c r="HM184" s="309"/>
      <c r="HN184" s="309"/>
      <c r="HO184" s="309"/>
      <c r="HP184" s="309"/>
      <c r="HQ184" s="309"/>
      <c r="HR184" s="309"/>
      <c r="HS184" s="309"/>
      <c r="HT184" s="309"/>
      <c r="HU184" s="309"/>
      <c r="HV184" s="309"/>
      <c r="HW184" s="309"/>
      <c r="HX184" s="309"/>
      <c r="HY184" s="309"/>
      <c r="HZ184" s="309"/>
      <c r="IA184" s="309"/>
      <c r="IB184" s="309"/>
      <c r="IC184" s="309"/>
      <c r="ID184" s="309"/>
      <c r="IE184" s="309"/>
    </row>
    <row r="185" spans="1:239" ht="25.5">
      <c r="A185" s="310">
        <v>177</v>
      </c>
      <c r="B185" s="360">
        <v>43047</v>
      </c>
      <c r="C185" s="307" t="s">
        <v>517</v>
      </c>
      <c r="D185" s="310" t="s">
        <v>681</v>
      </c>
      <c r="E185" s="310">
        <v>6</v>
      </c>
      <c r="F185" s="355" t="s">
        <v>711</v>
      </c>
      <c r="G185" s="310" t="s">
        <v>522</v>
      </c>
      <c r="H185" s="310">
        <v>2.5</v>
      </c>
      <c r="I185" s="310">
        <v>5</v>
      </c>
      <c r="J185" s="310">
        <v>85</v>
      </c>
      <c r="K185" s="310">
        <v>1</v>
      </c>
      <c r="L185" s="349"/>
      <c r="M185" s="346">
        <f t="shared" si="10"/>
        <v>12.5</v>
      </c>
      <c r="N185" s="346">
        <f t="shared" si="11"/>
        <v>212.5</v>
      </c>
      <c r="O185" s="348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09"/>
      <c r="BE185" s="309"/>
      <c r="BF185" s="309"/>
      <c r="BG185" s="309"/>
      <c r="BH185" s="309"/>
      <c r="BI185" s="309"/>
      <c r="BJ185" s="309"/>
      <c r="BK185" s="309"/>
      <c r="BL185" s="309"/>
      <c r="BM185" s="309"/>
      <c r="BN185" s="309"/>
      <c r="BO185" s="309"/>
      <c r="BP185" s="309"/>
      <c r="BQ185" s="309"/>
      <c r="BR185" s="309"/>
      <c r="BS185" s="309"/>
      <c r="BT185" s="309"/>
      <c r="BU185" s="309"/>
      <c r="BV185" s="309"/>
      <c r="BW185" s="309"/>
      <c r="BX185" s="309"/>
      <c r="BY185" s="309"/>
      <c r="BZ185" s="309"/>
      <c r="CA185" s="309"/>
      <c r="CB185" s="309"/>
      <c r="CC185" s="309"/>
      <c r="CD185" s="309"/>
      <c r="CE185" s="309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  <c r="CR185" s="309"/>
      <c r="CS185" s="309"/>
      <c r="CT185" s="309"/>
      <c r="CU185" s="309"/>
      <c r="CV185" s="309"/>
      <c r="CW185" s="309"/>
      <c r="CX185" s="309"/>
      <c r="CY185" s="309"/>
      <c r="CZ185" s="309"/>
      <c r="DA185" s="309"/>
      <c r="DB185" s="309"/>
      <c r="DC185" s="309"/>
      <c r="DD185" s="309"/>
      <c r="DE185" s="309"/>
      <c r="DF185" s="309"/>
      <c r="DG185" s="309"/>
      <c r="DH185" s="309"/>
      <c r="DI185" s="309"/>
      <c r="DJ185" s="309"/>
      <c r="DK185" s="309"/>
      <c r="DL185" s="309"/>
      <c r="DM185" s="309"/>
      <c r="DN185" s="309"/>
      <c r="DO185" s="309"/>
      <c r="DP185" s="309"/>
      <c r="DQ185" s="309"/>
      <c r="DR185" s="309"/>
      <c r="DS185" s="309"/>
      <c r="DT185" s="309"/>
      <c r="DU185" s="309"/>
      <c r="DV185" s="309"/>
      <c r="DW185" s="309"/>
      <c r="DX185" s="309"/>
      <c r="DY185" s="309"/>
      <c r="DZ185" s="309"/>
      <c r="EA185" s="309"/>
      <c r="EB185" s="309"/>
      <c r="EC185" s="309"/>
      <c r="ED185" s="309"/>
      <c r="EE185" s="309"/>
      <c r="EF185" s="309"/>
      <c r="EG185" s="309"/>
      <c r="EH185" s="309"/>
      <c r="EI185" s="309"/>
      <c r="EJ185" s="309"/>
      <c r="EK185" s="309"/>
      <c r="EL185" s="309"/>
      <c r="EM185" s="309"/>
      <c r="EN185" s="309"/>
      <c r="EO185" s="309"/>
      <c r="EP185" s="309"/>
      <c r="EQ185" s="309"/>
      <c r="ER185" s="309"/>
      <c r="ES185" s="309"/>
      <c r="ET185" s="309"/>
      <c r="EU185" s="309"/>
      <c r="EV185" s="309"/>
      <c r="EW185" s="309"/>
      <c r="EX185" s="309"/>
      <c r="EY185" s="309"/>
      <c r="EZ185" s="309"/>
      <c r="FA185" s="309"/>
      <c r="FB185" s="309"/>
      <c r="FC185" s="309"/>
      <c r="FD185" s="309"/>
      <c r="FE185" s="309"/>
      <c r="FF185" s="309"/>
      <c r="FG185" s="309"/>
      <c r="FH185" s="309"/>
      <c r="FI185" s="309"/>
      <c r="FJ185" s="309"/>
      <c r="FK185" s="309"/>
      <c r="FL185" s="309"/>
      <c r="FM185" s="309"/>
      <c r="FN185" s="309"/>
      <c r="FO185" s="309"/>
      <c r="FP185" s="309"/>
      <c r="FQ185" s="309"/>
      <c r="FR185" s="309"/>
      <c r="FS185" s="309"/>
      <c r="FT185" s="309"/>
      <c r="FU185" s="309"/>
      <c r="FV185" s="309"/>
      <c r="FW185" s="309"/>
      <c r="FX185" s="309"/>
      <c r="FY185" s="309"/>
      <c r="FZ185" s="309"/>
      <c r="GA185" s="309"/>
      <c r="GB185" s="309"/>
      <c r="GC185" s="309"/>
      <c r="GD185" s="309"/>
      <c r="GE185" s="309"/>
      <c r="GF185" s="309"/>
      <c r="GG185" s="309"/>
      <c r="GH185" s="309"/>
      <c r="GI185" s="309"/>
      <c r="GJ185" s="309"/>
      <c r="GK185" s="309"/>
      <c r="GL185" s="309"/>
      <c r="GM185" s="309"/>
      <c r="GN185" s="309"/>
      <c r="GO185" s="309"/>
      <c r="GP185" s="309"/>
      <c r="GQ185" s="309"/>
      <c r="GR185" s="309"/>
      <c r="GS185" s="309"/>
      <c r="GT185" s="309"/>
      <c r="GU185" s="309"/>
      <c r="GV185" s="309"/>
      <c r="GW185" s="309"/>
      <c r="GX185" s="309"/>
      <c r="GY185" s="309"/>
      <c r="GZ185" s="309"/>
      <c r="HA185" s="309"/>
      <c r="HB185" s="309"/>
      <c r="HC185" s="309"/>
      <c r="HD185" s="309"/>
      <c r="HE185" s="309"/>
      <c r="HF185" s="309"/>
      <c r="HG185" s="309"/>
      <c r="HH185" s="309"/>
      <c r="HI185" s="309"/>
      <c r="HJ185" s="309"/>
      <c r="HK185" s="309"/>
      <c r="HL185" s="309"/>
      <c r="HM185" s="309"/>
      <c r="HN185" s="309"/>
      <c r="HO185" s="309"/>
      <c r="HP185" s="309"/>
      <c r="HQ185" s="309"/>
      <c r="HR185" s="309"/>
      <c r="HS185" s="309"/>
      <c r="HT185" s="309"/>
      <c r="HU185" s="309"/>
      <c r="HV185" s="309"/>
      <c r="HW185" s="309"/>
      <c r="HX185" s="309"/>
      <c r="HY185" s="309"/>
      <c r="HZ185" s="309"/>
      <c r="IA185" s="309"/>
      <c r="IB185" s="309"/>
      <c r="IC185" s="309"/>
      <c r="ID185" s="309"/>
      <c r="IE185" s="309"/>
    </row>
    <row r="186" spans="1:239" ht="25.5">
      <c r="A186" s="310">
        <v>178</v>
      </c>
      <c r="B186" s="360">
        <v>43048</v>
      </c>
      <c r="C186" s="307" t="s">
        <v>517</v>
      </c>
      <c r="D186" s="310" t="s">
        <v>682</v>
      </c>
      <c r="E186" s="310">
        <v>6</v>
      </c>
      <c r="F186" s="355" t="s">
        <v>711</v>
      </c>
      <c r="G186" s="310" t="s">
        <v>522</v>
      </c>
      <c r="H186" s="310">
        <v>3.83</v>
      </c>
      <c r="I186" s="310">
        <v>5</v>
      </c>
      <c r="J186" s="310">
        <v>150</v>
      </c>
      <c r="K186" s="310">
        <v>1</v>
      </c>
      <c r="L186" s="349"/>
      <c r="M186" s="346">
        <f t="shared" si="10"/>
        <v>19.15</v>
      </c>
      <c r="N186" s="346">
        <f t="shared" si="11"/>
        <v>574.5</v>
      </c>
      <c r="O186" s="348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309"/>
      <c r="BB186" s="309"/>
      <c r="BC186" s="309"/>
      <c r="BD186" s="309"/>
      <c r="BE186" s="309"/>
      <c r="BF186" s="309"/>
      <c r="BG186" s="309"/>
      <c r="BH186" s="309"/>
      <c r="BI186" s="309"/>
      <c r="BJ186" s="309"/>
      <c r="BK186" s="309"/>
      <c r="BL186" s="309"/>
      <c r="BM186" s="309"/>
      <c r="BN186" s="309"/>
      <c r="BO186" s="309"/>
      <c r="BP186" s="309"/>
      <c r="BQ186" s="309"/>
      <c r="BR186" s="309"/>
      <c r="BS186" s="309"/>
      <c r="BT186" s="309"/>
      <c r="BU186" s="309"/>
      <c r="BV186" s="309"/>
      <c r="BW186" s="309"/>
      <c r="BX186" s="309"/>
      <c r="BY186" s="309"/>
      <c r="BZ186" s="309"/>
      <c r="CA186" s="309"/>
      <c r="CB186" s="309"/>
      <c r="CC186" s="309"/>
      <c r="CD186" s="309"/>
      <c r="CE186" s="309"/>
      <c r="CF186" s="309"/>
      <c r="CG186" s="309"/>
      <c r="CH186" s="309"/>
      <c r="CI186" s="309"/>
      <c r="CJ186" s="309"/>
      <c r="CK186" s="309"/>
      <c r="CL186" s="309"/>
      <c r="CM186" s="309"/>
      <c r="CN186" s="309"/>
      <c r="CO186" s="309"/>
      <c r="CP186" s="309"/>
      <c r="CQ186" s="309"/>
      <c r="CR186" s="309"/>
      <c r="CS186" s="309"/>
      <c r="CT186" s="309"/>
      <c r="CU186" s="309"/>
      <c r="CV186" s="309"/>
      <c r="CW186" s="309"/>
      <c r="CX186" s="309"/>
      <c r="CY186" s="309"/>
      <c r="CZ186" s="309"/>
      <c r="DA186" s="309"/>
      <c r="DB186" s="309"/>
      <c r="DC186" s="309"/>
      <c r="DD186" s="309"/>
      <c r="DE186" s="309"/>
      <c r="DF186" s="309"/>
      <c r="DG186" s="309"/>
      <c r="DH186" s="309"/>
      <c r="DI186" s="309"/>
      <c r="DJ186" s="309"/>
      <c r="DK186" s="309"/>
      <c r="DL186" s="309"/>
      <c r="DM186" s="309"/>
      <c r="DN186" s="309"/>
      <c r="DO186" s="309"/>
      <c r="DP186" s="309"/>
      <c r="DQ186" s="309"/>
      <c r="DR186" s="309"/>
      <c r="DS186" s="309"/>
      <c r="DT186" s="309"/>
      <c r="DU186" s="309"/>
      <c r="DV186" s="309"/>
      <c r="DW186" s="309"/>
      <c r="DX186" s="309"/>
      <c r="DY186" s="309"/>
      <c r="DZ186" s="309"/>
      <c r="EA186" s="309"/>
      <c r="EB186" s="309"/>
      <c r="EC186" s="309"/>
      <c r="ED186" s="309"/>
      <c r="EE186" s="309"/>
      <c r="EF186" s="309"/>
      <c r="EG186" s="309"/>
      <c r="EH186" s="309"/>
      <c r="EI186" s="309"/>
      <c r="EJ186" s="309"/>
      <c r="EK186" s="309"/>
      <c r="EL186" s="309"/>
      <c r="EM186" s="309"/>
      <c r="EN186" s="309"/>
      <c r="EO186" s="309"/>
      <c r="EP186" s="309"/>
      <c r="EQ186" s="309"/>
      <c r="ER186" s="309"/>
      <c r="ES186" s="309"/>
      <c r="ET186" s="309"/>
      <c r="EU186" s="309"/>
      <c r="EV186" s="309"/>
      <c r="EW186" s="309"/>
      <c r="EX186" s="309"/>
      <c r="EY186" s="309"/>
      <c r="EZ186" s="309"/>
      <c r="FA186" s="309"/>
      <c r="FB186" s="309"/>
      <c r="FC186" s="309"/>
      <c r="FD186" s="309"/>
      <c r="FE186" s="309"/>
      <c r="FF186" s="309"/>
      <c r="FG186" s="309"/>
      <c r="FH186" s="309"/>
      <c r="FI186" s="309"/>
      <c r="FJ186" s="309"/>
      <c r="FK186" s="309"/>
      <c r="FL186" s="309"/>
      <c r="FM186" s="309"/>
      <c r="FN186" s="309"/>
      <c r="FO186" s="309"/>
      <c r="FP186" s="309"/>
      <c r="FQ186" s="309"/>
      <c r="FR186" s="309"/>
      <c r="FS186" s="309"/>
      <c r="FT186" s="309"/>
      <c r="FU186" s="309"/>
      <c r="FV186" s="309"/>
      <c r="FW186" s="309"/>
      <c r="FX186" s="309"/>
      <c r="FY186" s="309"/>
      <c r="FZ186" s="309"/>
      <c r="GA186" s="309"/>
      <c r="GB186" s="309"/>
      <c r="GC186" s="309"/>
      <c r="GD186" s="309"/>
      <c r="GE186" s="309"/>
      <c r="GF186" s="309"/>
      <c r="GG186" s="309"/>
      <c r="GH186" s="309"/>
      <c r="GI186" s="309"/>
      <c r="GJ186" s="309"/>
      <c r="GK186" s="309"/>
      <c r="GL186" s="309"/>
      <c r="GM186" s="309"/>
      <c r="GN186" s="309"/>
      <c r="GO186" s="309"/>
      <c r="GP186" s="309"/>
      <c r="GQ186" s="309"/>
      <c r="GR186" s="309"/>
      <c r="GS186" s="309"/>
      <c r="GT186" s="309"/>
      <c r="GU186" s="309"/>
      <c r="GV186" s="309"/>
      <c r="GW186" s="309"/>
      <c r="GX186" s="309"/>
      <c r="GY186" s="309"/>
      <c r="GZ186" s="309"/>
      <c r="HA186" s="309"/>
      <c r="HB186" s="309"/>
      <c r="HC186" s="309"/>
      <c r="HD186" s="309"/>
      <c r="HE186" s="309"/>
      <c r="HF186" s="309"/>
      <c r="HG186" s="309"/>
      <c r="HH186" s="309"/>
      <c r="HI186" s="309"/>
      <c r="HJ186" s="309"/>
      <c r="HK186" s="309"/>
      <c r="HL186" s="309"/>
      <c r="HM186" s="309"/>
      <c r="HN186" s="309"/>
      <c r="HO186" s="309"/>
      <c r="HP186" s="309"/>
      <c r="HQ186" s="309"/>
      <c r="HR186" s="309"/>
      <c r="HS186" s="309"/>
      <c r="HT186" s="309"/>
      <c r="HU186" s="309"/>
      <c r="HV186" s="309"/>
      <c r="HW186" s="309"/>
      <c r="HX186" s="309"/>
      <c r="HY186" s="309"/>
      <c r="HZ186" s="309"/>
      <c r="IA186" s="309"/>
      <c r="IB186" s="309"/>
      <c r="IC186" s="309"/>
      <c r="ID186" s="309"/>
      <c r="IE186" s="309"/>
    </row>
    <row r="187" spans="1:239" ht="25.5">
      <c r="A187" s="310">
        <v>179</v>
      </c>
      <c r="B187" s="360">
        <v>43056</v>
      </c>
      <c r="C187" s="307" t="s">
        <v>517</v>
      </c>
      <c r="D187" s="310" t="s">
        <v>543</v>
      </c>
      <c r="E187" s="310">
        <v>6</v>
      </c>
      <c r="F187" s="355" t="s">
        <v>711</v>
      </c>
      <c r="G187" s="310" t="s">
        <v>522</v>
      </c>
      <c r="H187" s="310">
        <v>6.17</v>
      </c>
      <c r="I187" s="310">
        <v>4</v>
      </c>
      <c r="J187" s="310">
        <v>100</v>
      </c>
      <c r="K187" s="310">
        <v>1</v>
      </c>
      <c r="L187" s="349"/>
      <c r="M187" s="346">
        <f t="shared" si="10"/>
        <v>24.68</v>
      </c>
      <c r="N187" s="346">
        <f t="shared" si="11"/>
        <v>617</v>
      </c>
      <c r="O187" s="348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309"/>
      <c r="BB187" s="309"/>
      <c r="BC187" s="309"/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309"/>
      <c r="BS187" s="309"/>
      <c r="BT187" s="309"/>
      <c r="BU187" s="309"/>
      <c r="BV187" s="309"/>
      <c r="BW187" s="309"/>
      <c r="BX187" s="309"/>
      <c r="BY187" s="309"/>
      <c r="BZ187" s="309"/>
      <c r="CA187" s="309"/>
      <c r="CB187" s="309"/>
      <c r="CC187" s="309"/>
      <c r="CD187" s="309"/>
      <c r="CE187" s="309"/>
      <c r="CF187" s="309"/>
      <c r="CG187" s="309"/>
      <c r="CH187" s="309"/>
      <c r="CI187" s="309"/>
      <c r="CJ187" s="309"/>
      <c r="CK187" s="309"/>
      <c r="CL187" s="309"/>
      <c r="CM187" s="309"/>
      <c r="CN187" s="309"/>
      <c r="CO187" s="309"/>
      <c r="CP187" s="309"/>
      <c r="CQ187" s="309"/>
      <c r="CR187" s="309"/>
      <c r="CS187" s="309"/>
      <c r="CT187" s="309"/>
      <c r="CU187" s="309"/>
      <c r="CV187" s="309"/>
      <c r="CW187" s="309"/>
      <c r="CX187" s="309"/>
      <c r="CY187" s="309"/>
      <c r="CZ187" s="309"/>
      <c r="DA187" s="309"/>
      <c r="DB187" s="309"/>
      <c r="DC187" s="309"/>
      <c r="DD187" s="309"/>
      <c r="DE187" s="309"/>
      <c r="DF187" s="309"/>
      <c r="DG187" s="309"/>
      <c r="DH187" s="309"/>
      <c r="DI187" s="309"/>
      <c r="DJ187" s="309"/>
      <c r="DK187" s="309"/>
      <c r="DL187" s="309"/>
      <c r="DM187" s="309"/>
      <c r="DN187" s="309"/>
      <c r="DO187" s="309"/>
      <c r="DP187" s="309"/>
      <c r="DQ187" s="309"/>
      <c r="DR187" s="309"/>
      <c r="DS187" s="309"/>
      <c r="DT187" s="309"/>
      <c r="DU187" s="309"/>
      <c r="DV187" s="309"/>
      <c r="DW187" s="309"/>
      <c r="DX187" s="309"/>
      <c r="DY187" s="309"/>
      <c r="DZ187" s="309"/>
      <c r="EA187" s="309"/>
      <c r="EB187" s="309"/>
      <c r="EC187" s="309"/>
      <c r="ED187" s="309"/>
      <c r="EE187" s="309"/>
      <c r="EF187" s="309"/>
      <c r="EG187" s="309"/>
      <c r="EH187" s="309"/>
      <c r="EI187" s="309"/>
      <c r="EJ187" s="309"/>
      <c r="EK187" s="309"/>
      <c r="EL187" s="309"/>
      <c r="EM187" s="309"/>
      <c r="EN187" s="309"/>
      <c r="EO187" s="309"/>
      <c r="EP187" s="309"/>
      <c r="EQ187" s="309"/>
      <c r="ER187" s="309"/>
      <c r="ES187" s="309"/>
      <c r="ET187" s="309"/>
      <c r="EU187" s="309"/>
      <c r="EV187" s="309"/>
      <c r="EW187" s="309"/>
      <c r="EX187" s="309"/>
      <c r="EY187" s="309"/>
      <c r="EZ187" s="309"/>
      <c r="FA187" s="309"/>
      <c r="FB187" s="309"/>
      <c r="FC187" s="309"/>
      <c r="FD187" s="309"/>
      <c r="FE187" s="309"/>
      <c r="FF187" s="309"/>
      <c r="FG187" s="309"/>
      <c r="FH187" s="309"/>
      <c r="FI187" s="309"/>
      <c r="FJ187" s="309"/>
      <c r="FK187" s="309"/>
      <c r="FL187" s="309"/>
      <c r="FM187" s="309"/>
      <c r="FN187" s="309"/>
      <c r="FO187" s="309"/>
      <c r="FP187" s="309"/>
      <c r="FQ187" s="309"/>
      <c r="FR187" s="309"/>
      <c r="FS187" s="309"/>
      <c r="FT187" s="309"/>
      <c r="FU187" s="309"/>
      <c r="FV187" s="309"/>
      <c r="FW187" s="309"/>
      <c r="FX187" s="309"/>
      <c r="FY187" s="309"/>
      <c r="FZ187" s="309"/>
      <c r="GA187" s="309"/>
      <c r="GB187" s="309"/>
      <c r="GC187" s="309"/>
      <c r="GD187" s="309"/>
      <c r="GE187" s="309"/>
      <c r="GF187" s="309"/>
      <c r="GG187" s="309"/>
      <c r="GH187" s="309"/>
      <c r="GI187" s="309"/>
      <c r="GJ187" s="309"/>
      <c r="GK187" s="309"/>
      <c r="GL187" s="309"/>
      <c r="GM187" s="309"/>
      <c r="GN187" s="309"/>
      <c r="GO187" s="309"/>
      <c r="GP187" s="309"/>
      <c r="GQ187" s="309"/>
      <c r="GR187" s="309"/>
      <c r="GS187" s="309"/>
      <c r="GT187" s="309"/>
      <c r="GU187" s="309"/>
      <c r="GV187" s="309"/>
      <c r="GW187" s="309"/>
      <c r="GX187" s="309"/>
      <c r="GY187" s="309"/>
      <c r="GZ187" s="309"/>
      <c r="HA187" s="309"/>
      <c r="HB187" s="309"/>
      <c r="HC187" s="309"/>
      <c r="HD187" s="309"/>
      <c r="HE187" s="309"/>
      <c r="HF187" s="309"/>
      <c r="HG187" s="309"/>
      <c r="HH187" s="309"/>
      <c r="HI187" s="309"/>
      <c r="HJ187" s="309"/>
      <c r="HK187" s="309"/>
      <c r="HL187" s="309"/>
      <c r="HM187" s="309"/>
      <c r="HN187" s="309"/>
      <c r="HO187" s="309"/>
      <c r="HP187" s="309"/>
      <c r="HQ187" s="309"/>
      <c r="HR187" s="309"/>
      <c r="HS187" s="309"/>
      <c r="HT187" s="309"/>
      <c r="HU187" s="309"/>
      <c r="HV187" s="309"/>
      <c r="HW187" s="309"/>
      <c r="HX187" s="309"/>
      <c r="HY187" s="309"/>
      <c r="HZ187" s="309"/>
      <c r="IA187" s="309"/>
      <c r="IB187" s="309"/>
      <c r="IC187" s="309"/>
      <c r="ID187" s="309"/>
      <c r="IE187" s="309"/>
    </row>
    <row r="188" spans="1:239" ht="25.5">
      <c r="A188" s="308">
        <v>180</v>
      </c>
      <c r="B188" s="359">
        <v>43048</v>
      </c>
      <c r="C188" s="305" t="s">
        <v>514</v>
      </c>
      <c r="D188" s="308" t="s">
        <v>683</v>
      </c>
      <c r="E188" s="308">
        <v>10</v>
      </c>
      <c r="F188" s="350" t="s">
        <v>711</v>
      </c>
      <c r="G188" s="308" t="s">
        <v>516</v>
      </c>
      <c r="H188" s="308">
        <v>1.25</v>
      </c>
      <c r="I188" s="308">
        <v>56</v>
      </c>
      <c r="J188" s="308">
        <v>384</v>
      </c>
      <c r="K188" s="308">
        <v>1</v>
      </c>
      <c r="L188" s="349"/>
      <c r="M188" s="346">
        <f t="shared" si="10"/>
        <v>70</v>
      </c>
      <c r="N188" s="346">
        <f t="shared" si="11"/>
        <v>480</v>
      </c>
      <c r="O188" s="348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/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309"/>
      <c r="BS188" s="309"/>
      <c r="BT188" s="309"/>
      <c r="BU188" s="309"/>
      <c r="BV188" s="309"/>
      <c r="BW188" s="309"/>
      <c r="BX188" s="309"/>
      <c r="BY188" s="309"/>
      <c r="BZ188" s="309"/>
      <c r="CA188" s="309"/>
      <c r="CB188" s="309"/>
      <c r="CC188" s="309"/>
      <c r="CD188" s="309"/>
      <c r="CE188" s="309"/>
      <c r="CF188" s="309"/>
      <c r="CG188" s="309"/>
      <c r="CH188" s="309"/>
      <c r="CI188" s="309"/>
      <c r="CJ188" s="309"/>
      <c r="CK188" s="309"/>
      <c r="CL188" s="309"/>
      <c r="CM188" s="309"/>
      <c r="CN188" s="309"/>
      <c r="CO188" s="309"/>
      <c r="CP188" s="309"/>
      <c r="CQ188" s="309"/>
      <c r="CR188" s="309"/>
      <c r="CS188" s="309"/>
      <c r="CT188" s="309"/>
      <c r="CU188" s="309"/>
      <c r="CV188" s="309"/>
      <c r="CW188" s="309"/>
      <c r="CX188" s="309"/>
      <c r="CY188" s="309"/>
      <c r="CZ188" s="309"/>
      <c r="DA188" s="309"/>
      <c r="DB188" s="309"/>
      <c r="DC188" s="309"/>
      <c r="DD188" s="309"/>
      <c r="DE188" s="309"/>
      <c r="DF188" s="309"/>
      <c r="DG188" s="309"/>
      <c r="DH188" s="309"/>
      <c r="DI188" s="309"/>
      <c r="DJ188" s="309"/>
      <c r="DK188" s="309"/>
      <c r="DL188" s="309"/>
      <c r="DM188" s="309"/>
      <c r="DN188" s="309"/>
      <c r="DO188" s="309"/>
      <c r="DP188" s="309"/>
      <c r="DQ188" s="309"/>
      <c r="DR188" s="309"/>
      <c r="DS188" s="309"/>
      <c r="DT188" s="309"/>
      <c r="DU188" s="309"/>
      <c r="DV188" s="309"/>
      <c r="DW188" s="309"/>
      <c r="DX188" s="309"/>
      <c r="DY188" s="309"/>
      <c r="DZ188" s="309"/>
      <c r="EA188" s="309"/>
      <c r="EB188" s="309"/>
      <c r="EC188" s="309"/>
      <c r="ED188" s="309"/>
      <c r="EE188" s="309"/>
      <c r="EF188" s="309"/>
      <c r="EG188" s="309"/>
      <c r="EH188" s="309"/>
      <c r="EI188" s="309"/>
      <c r="EJ188" s="309"/>
      <c r="EK188" s="309"/>
      <c r="EL188" s="309"/>
      <c r="EM188" s="309"/>
      <c r="EN188" s="309"/>
      <c r="EO188" s="309"/>
      <c r="EP188" s="309"/>
      <c r="EQ188" s="309"/>
      <c r="ER188" s="309"/>
      <c r="ES188" s="309"/>
      <c r="ET188" s="309"/>
      <c r="EU188" s="309"/>
      <c r="EV188" s="309"/>
      <c r="EW188" s="309"/>
      <c r="EX188" s="309"/>
      <c r="EY188" s="309"/>
      <c r="EZ188" s="309"/>
      <c r="FA188" s="309"/>
      <c r="FB188" s="309"/>
      <c r="FC188" s="309"/>
      <c r="FD188" s="309"/>
      <c r="FE188" s="309"/>
      <c r="FF188" s="309"/>
      <c r="FG188" s="309"/>
      <c r="FH188" s="309"/>
      <c r="FI188" s="309"/>
      <c r="FJ188" s="309"/>
      <c r="FK188" s="309"/>
      <c r="FL188" s="309"/>
      <c r="FM188" s="309"/>
      <c r="FN188" s="309"/>
      <c r="FO188" s="309"/>
      <c r="FP188" s="309"/>
      <c r="FQ188" s="309"/>
      <c r="FR188" s="309"/>
      <c r="FS188" s="309"/>
      <c r="FT188" s="309"/>
      <c r="FU188" s="309"/>
      <c r="FV188" s="309"/>
      <c r="FW188" s="309"/>
      <c r="FX188" s="309"/>
      <c r="FY188" s="309"/>
      <c r="FZ188" s="309"/>
      <c r="GA188" s="309"/>
      <c r="GB188" s="309"/>
      <c r="GC188" s="309"/>
      <c r="GD188" s="309"/>
      <c r="GE188" s="309"/>
      <c r="GF188" s="309"/>
      <c r="GG188" s="309"/>
      <c r="GH188" s="309"/>
      <c r="GI188" s="309"/>
      <c r="GJ188" s="309"/>
      <c r="GK188" s="309"/>
      <c r="GL188" s="309"/>
      <c r="GM188" s="309"/>
      <c r="GN188" s="309"/>
      <c r="GO188" s="309"/>
      <c r="GP188" s="309"/>
      <c r="GQ188" s="309"/>
      <c r="GR188" s="309"/>
      <c r="GS188" s="309"/>
      <c r="GT188" s="309"/>
      <c r="GU188" s="309"/>
      <c r="GV188" s="309"/>
      <c r="GW188" s="309"/>
      <c r="GX188" s="309"/>
      <c r="GY188" s="309"/>
      <c r="GZ188" s="309"/>
      <c r="HA188" s="309"/>
      <c r="HB188" s="309"/>
      <c r="HC188" s="309"/>
      <c r="HD188" s="309"/>
      <c r="HE188" s="309"/>
      <c r="HF188" s="309"/>
      <c r="HG188" s="309"/>
      <c r="HH188" s="309"/>
      <c r="HI188" s="309"/>
      <c r="HJ188" s="309"/>
      <c r="HK188" s="309"/>
      <c r="HL188" s="309"/>
      <c r="HM188" s="309"/>
      <c r="HN188" s="309"/>
      <c r="HO188" s="309"/>
      <c r="HP188" s="309"/>
      <c r="HQ188" s="309"/>
      <c r="HR188" s="309"/>
      <c r="HS188" s="309"/>
      <c r="HT188" s="309"/>
      <c r="HU188" s="309"/>
      <c r="HV188" s="309"/>
      <c r="HW188" s="309"/>
      <c r="HX188" s="309"/>
      <c r="HY188" s="309"/>
      <c r="HZ188" s="309"/>
      <c r="IA188" s="309"/>
      <c r="IB188" s="309"/>
      <c r="IC188" s="309"/>
      <c r="ID188" s="309"/>
      <c r="IE188" s="309"/>
    </row>
    <row r="189" spans="1:239" ht="25.5">
      <c r="A189" s="308">
        <v>181</v>
      </c>
      <c r="B189" s="359">
        <v>43048</v>
      </c>
      <c r="C189" s="305" t="s">
        <v>514</v>
      </c>
      <c r="D189" s="308" t="s">
        <v>684</v>
      </c>
      <c r="E189" s="308">
        <v>6</v>
      </c>
      <c r="F189" s="350" t="s">
        <v>711</v>
      </c>
      <c r="G189" s="308" t="s">
        <v>522</v>
      </c>
      <c r="H189" s="308">
        <v>7</v>
      </c>
      <c r="I189" s="308">
        <v>6</v>
      </c>
      <c r="J189" s="308">
        <v>91.4</v>
      </c>
      <c r="K189" s="308">
        <v>1</v>
      </c>
      <c r="L189" s="349"/>
      <c r="M189" s="346">
        <f t="shared" si="10"/>
        <v>42</v>
      </c>
      <c r="N189" s="346">
        <f t="shared" si="11"/>
        <v>639.8000000000001</v>
      </c>
      <c r="O189" s="348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309"/>
      <c r="BS189" s="309"/>
      <c r="BT189" s="309"/>
      <c r="BU189" s="309"/>
      <c r="BV189" s="309"/>
      <c r="BW189" s="309"/>
      <c r="BX189" s="309"/>
      <c r="BY189" s="309"/>
      <c r="BZ189" s="309"/>
      <c r="CA189" s="309"/>
      <c r="CB189" s="309"/>
      <c r="CC189" s="309"/>
      <c r="CD189" s="309"/>
      <c r="CE189" s="309"/>
      <c r="CF189" s="309"/>
      <c r="CG189" s="309"/>
      <c r="CH189" s="309"/>
      <c r="CI189" s="309"/>
      <c r="CJ189" s="309"/>
      <c r="CK189" s="309"/>
      <c r="CL189" s="309"/>
      <c r="CM189" s="309"/>
      <c r="CN189" s="309"/>
      <c r="CO189" s="309"/>
      <c r="CP189" s="309"/>
      <c r="CQ189" s="309"/>
      <c r="CR189" s="309"/>
      <c r="CS189" s="309"/>
      <c r="CT189" s="309"/>
      <c r="CU189" s="309"/>
      <c r="CV189" s="309"/>
      <c r="CW189" s="309"/>
      <c r="CX189" s="309"/>
      <c r="CY189" s="309"/>
      <c r="CZ189" s="309"/>
      <c r="DA189" s="309"/>
      <c r="DB189" s="309"/>
      <c r="DC189" s="309"/>
      <c r="DD189" s="309"/>
      <c r="DE189" s="309"/>
      <c r="DF189" s="309"/>
      <c r="DG189" s="309"/>
      <c r="DH189" s="309"/>
      <c r="DI189" s="309"/>
      <c r="DJ189" s="309"/>
      <c r="DK189" s="309"/>
      <c r="DL189" s="309"/>
      <c r="DM189" s="309"/>
      <c r="DN189" s="309"/>
      <c r="DO189" s="309"/>
      <c r="DP189" s="309"/>
      <c r="DQ189" s="309"/>
      <c r="DR189" s="309"/>
      <c r="DS189" s="309"/>
      <c r="DT189" s="309"/>
      <c r="DU189" s="309"/>
      <c r="DV189" s="309"/>
      <c r="DW189" s="309"/>
      <c r="DX189" s="309"/>
      <c r="DY189" s="309"/>
      <c r="DZ189" s="309"/>
      <c r="EA189" s="309"/>
      <c r="EB189" s="309"/>
      <c r="EC189" s="309"/>
      <c r="ED189" s="309"/>
      <c r="EE189" s="309"/>
      <c r="EF189" s="309"/>
      <c r="EG189" s="309"/>
      <c r="EH189" s="309"/>
      <c r="EI189" s="309"/>
      <c r="EJ189" s="309"/>
      <c r="EK189" s="309"/>
      <c r="EL189" s="309"/>
      <c r="EM189" s="309"/>
      <c r="EN189" s="309"/>
      <c r="EO189" s="309"/>
      <c r="EP189" s="309"/>
      <c r="EQ189" s="309"/>
      <c r="ER189" s="309"/>
      <c r="ES189" s="309"/>
      <c r="ET189" s="309"/>
      <c r="EU189" s="309"/>
      <c r="EV189" s="309"/>
      <c r="EW189" s="309"/>
      <c r="EX189" s="309"/>
      <c r="EY189" s="309"/>
      <c r="EZ189" s="309"/>
      <c r="FA189" s="309"/>
      <c r="FB189" s="309"/>
      <c r="FC189" s="309"/>
      <c r="FD189" s="309"/>
      <c r="FE189" s="309"/>
      <c r="FF189" s="309"/>
      <c r="FG189" s="309"/>
      <c r="FH189" s="309"/>
      <c r="FI189" s="309"/>
      <c r="FJ189" s="309"/>
      <c r="FK189" s="309"/>
      <c r="FL189" s="309"/>
      <c r="FM189" s="309"/>
      <c r="FN189" s="309"/>
      <c r="FO189" s="309"/>
      <c r="FP189" s="309"/>
      <c r="FQ189" s="309"/>
      <c r="FR189" s="309"/>
      <c r="FS189" s="309"/>
      <c r="FT189" s="309"/>
      <c r="FU189" s="309"/>
      <c r="FV189" s="309"/>
      <c r="FW189" s="309"/>
      <c r="FX189" s="309"/>
      <c r="FY189" s="309"/>
      <c r="FZ189" s="309"/>
      <c r="GA189" s="309"/>
      <c r="GB189" s="309"/>
      <c r="GC189" s="309"/>
      <c r="GD189" s="309"/>
      <c r="GE189" s="309"/>
      <c r="GF189" s="309"/>
      <c r="GG189" s="309"/>
      <c r="GH189" s="309"/>
      <c r="GI189" s="309"/>
      <c r="GJ189" s="309"/>
      <c r="GK189" s="309"/>
      <c r="GL189" s="309"/>
      <c r="GM189" s="309"/>
      <c r="GN189" s="309"/>
      <c r="GO189" s="309"/>
      <c r="GP189" s="309"/>
      <c r="GQ189" s="309"/>
      <c r="GR189" s="309"/>
      <c r="GS189" s="309"/>
      <c r="GT189" s="309"/>
      <c r="GU189" s="309"/>
      <c r="GV189" s="309"/>
      <c r="GW189" s="309"/>
      <c r="GX189" s="309"/>
      <c r="GY189" s="309"/>
      <c r="GZ189" s="309"/>
      <c r="HA189" s="309"/>
      <c r="HB189" s="309"/>
      <c r="HC189" s="309"/>
      <c r="HD189" s="309"/>
      <c r="HE189" s="309"/>
      <c r="HF189" s="309"/>
      <c r="HG189" s="309"/>
      <c r="HH189" s="309"/>
      <c r="HI189" s="309"/>
      <c r="HJ189" s="309"/>
      <c r="HK189" s="309"/>
      <c r="HL189" s="309"/>
      <c r="HM189" s="309"/>
      <c r="HN189" s="309"/>
      <c r="HO189" s="309"/>
      <c r="HP189" s="309"/>
      <c r="HQ189" s="309"/>
      <c r="HR189" s="309"/>
      <c r="HS189" s="309"/>
      <c r="HT189" s="309"/>
      <c r="HU189" s="309"/>
      <c r="HV189" s="309"/>
      <c r="HW189" s="309"/>
      <c r="HX189" s="309"/>
      <c r="HY189" s="309"/>
      <c r="HZ189" s="309"/>
      <c r="IA189" s="309"/>
      <c r="IB189" s="309"/>
      <c r="IC189" s="309"/>
      <c r="ID189" s="309"/>
      <c r="IE189" s="309"/>
    </row>
    <row r="190" spans="1:239" ht="25.5">
      <c r="A190" s="308">
        <v>182</v>
      </c>
      <c r="B190" s="359">
        <v>43049</v>
      </c>
      <c r="C190" s="305" t="s">
        <v>514</v>
      </c>
      <c r="D190" s="308" t="s">
        <v>685</v>
      </c>
      <c r="E190" s="308">
        <v>6</v>
      </c>
      <c r="F190" s="350" t="s">
        <v>711</v>
      </c>
      <c r="G190" s="308" t="s">
        <v>522</v>
      </c>
      <c r="H190" s="308">
        <v>1.5</v>
      </c>
      <c r="I190" s="308">
        <v>4</v>
      </c>
      <c r="J190" s="308">
        <v>151</v>
      </c>
      <c r="K190" s="308">
        <v>1</v>
      </c>
      <c r="L190" s="349"/>
      <c r="M190" s="346">
        <f t="shared" si="10"/>
        <v>6</v>
      </c>
      <c r="N190" s="346">
        <f t="shared" si="11"/>
        <v>226.5</v>
      </c>
      <c r="O190" s="348"/>
      <c r="P190" s="309"/>
      <c r="Q190" s="309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  <c r="AX190" s="309"/>
      <c r="AY190" s="309"/>
      <c r="AZ190" s="309"/>
      <c r="BA190" s="309"/>
      <c r="BB190" s="309"/>
      <c r="BC190" s="309"/>
      <c r="BD190" s="309"/>
      <c r="BE190" s="309"/>
      <c r="BF190" s="309"/>
      <c r="BG190" s="309"/>
      <c r="BH190" s="309"/>
      <c r="BI190" s="309"/>
      <c r="BJ190" s="309"/>
      <c r="BK190" s="309"/>
      <c r="BL190" s="309"/>
      <c r="BM190" s="309"/>
      <c r="BN190" s="309"/>
      <c r="BO190" s="309"/>
      <c r="BP190" s="309"/>
      <c r="BQ190" s="309"/>
      <c r="BR190" s="309"/>
      <c r="BS190" s="309"/>
      <c r="BT190" s="309"/>
      <c r="BU190" s="309"/>
      <c r="BV190" s="309"/>
      <c r="BW190" s="309"/>
      <c r="BX190" s="309"/>
      <c r="BY190" s="309"/>
      <c r="BZ190" s="309"/>
      <c r="CA190" s="309"/>
      <c r="CB190" s="309"/>
      <c r="CC190" s="309"/>
      <c r="CD190" s="309"/>
      <c r="CE190" s="309"/>
      <c r="CF190" s="309"/>
      <c r="CG190" s="309"/>
      <c r="CH190" s="309"/>
      <c r="CI190" s="309"/>
      <c r="CJ190" s="309"/>
      <c r="CK190" s="309"/>
      <c r="CL190" s="309"/>
      <c r="CM190" s="309"/>
      <c r="CN190" s="309"/>
      <c r="CO190" s="309"/>
      <c r="CP190" s="309"/>
      <c r="CQ190" s="309"/>
      <c r="CR190" s="309"/>
      <c r="CS190" s="309"/>
      <c r="CT190" s="309"/>
      <c r="CU190" s="309"/>
      <c r="CV190" s="309"/>
      <c r="CW190" s="309"/>
      <c r="CX190" s="309"/>
      <c r="CY190" s="309"/>
      <c r="CZ190" s="309"/>
      <c r="DA190" s="309"/>
      <c r="DB190" s="309"/>
      <c r="DC190" s="309"/>
      <c r="DD190" s="309"/>
      <c r="DE190" s="309"/>
      <c r="DF190" s="309"/>
      <c r="DG190" s="309"/>
      <c r="DH190" s="309"/>
      <c r="DI190" s="309"/>
      <c r="DJ190" s="309"/>
      <c r="DK190" s="309"/>
      <c r="DL190" s="309"/>
      <c r="DM190" s="309"/>
      <c r="DN190" s="309"/>
      <c r="DO190" s="309"/>
      <c r="DP190" s="309"/>
      <c r="DQ190" s="309"/>
      <c r="DR190" s="309"/>
      <c r="DS190" s="309"/>
      <c r="DT190" s="309"/>
      <c r="DU190" s="309"/>
      <c r="DV190" s="309"/>
      <c r="DW190" s="309"/>
      <c r="DX190" s="309"/>
      <c r="DY190" s="309"/>
      <c r="DZ190" s="309"/>
      <c r="EA190" s="309"/>
      <c r="EB190" s="309"/>
      <c r="EC190" s="309"/>
      <c r="ED190" s="309"/>
      <c r="EE190" s="309"/>
      <c r="EF190" s="309"/>
      <c r="EG190" s="309"/>
      <c r="EH190" s="309"/>
      <c r="EI190" s="309"/>
      <c r="EJ190" s="309"/>
      <c r="EK190" s="309"/>
      <c r="EL190" s="309"/>
      <c r="EM190" s="309"/>
      <c r="EN190" s="309"/>
      <c r="EO190" s="309"/>
      <c r="EP190" s="309"/>
      <c r="EQ190" s="309"/>
      <c r="ER190" s="309"/>
      <c r="ES190" s="309"/>
      <c r="ET190" s="309"/>
      <c r="EU190" s="309"/>
      <c r="EV190" s="309"/>
      <c r="EW190" s="309"/>
      <c r="EX190" s="309"/>
      <c r="EY190" s="309"/>
      <c r="EZ190" s="309"/>
      <c r="FA190" s="309"/>
      <c r="FB190" s="309"/>
      <c r="FC190" s="309"/>
      <c r="FD190" s="309"/>
      <c r="FE190" s="309"/>
      <c r="FF190" s="309"/>
      <c r="FG190" s="309"/>
      <c r="FH190" s="309"/>
      <c r="FI190" s="309"/>
      <c r="FJ190" s="309"/>
      <c r="FK190" s="309"/>
      <c r="FL190" s="309"/>
      <c r="FM190" s="309"/>
      <c r="FN190" s="309"/>
      <c r="FO190" s="309"/>
      <c r="FP190" s="309"/>
      <c r="FQ190" s="309"/>
      <c r="FR190" s="309"/>
      <c r="FS190" s="309"/>
      <c r="FT190" s="309"/>
      <c r="FU190" s="309"/>
      <c r="FV190" s="309"/>
      <c r="FW190" s="309"/>
      <c r="FX190" s="309"/>
      <c r="FY190" s="309"/>
      <c r="FZ190" s="309"/>
      <c r="GA190" s="309"/>
      <c r="GB190" s="309"/>
      <c r="GC190" s="309"/>
      <c r="GD190" s="309"/>
      <c r="GE190" s="309"/>
      <c r="GF190" s="309"/>
      <c r="GG190" s="309"/>
      <c r="GH190" s="309"/>
      <c r="GI190" s="309"/>
      <c r="GJ190" s="309"/>
      <c r="GK190" s="309"/>
      <c r="GL190" s="309"/>
      <c r="GM190" s="309"/>
      <c r="GN190" s="309"/>
      <c r="GO190" s="309"/>
      <c r="GP190" s="309"/>
      <c r="GQ190" s="309"/>
      <c r="GR190" s="309"/>
      <c r="GS190" s="309"/>
      <c r="GT190" s="309"/>
      <c r="GU190" s="309"/>
      <c r="GV190" s="309"/>
      <c r="GW190" s="309"/>
      <c r="GX190" s="309"/>
      <c r="GY190" s="309"/>
      <c r="GZ190" s="309"/>
      <c r="HA190" s="309"/>
      <c r="HB190" s="309"/>
      <c r="HC190" s="309"/>
      <c r="HD190" s="309"/>
      <c r="HE190" s="309"/>
      <c r="HF190" s="309"/>
      <c r="HG190" s="309"/>
      <c r="HH190" s="309"/>
      <c r="HI190" s="309"/>
      <c r="HJ190" s="309"/>
      <c r="HK190" s="309"/>
      <c r="HL190" s="309"/>
      <c r="HM190" s="309"/>
      <c r="HN190" s="309"/>
      <c r="HO190" s="309"/>
      <c r="HP190" s="309"/>
      <c r="HQ190" s="309"/>
      <c r="HR190" s="309"/>
      <c r="HS190" s="309"/>
      <c r="HT190" s="309"/>
      <c r="HU190" s="309"/>
      <c r="HV190" s="309"/>
      <c r="HW190" s="309"/>
      <c r="HX190" s="309"/>
      <c r="HY190" s="309"/>
      <c r="HZ190" s="309"/>
      <c r="IA190" s="309"/>
      <c r="IB190" s="309"/>
      <c r="IC190" s="309"/>
      <c r="ID190" s="309"/>
      <c r="IE190" s="309"/>
    </row>
    <row r="191" spans="1:239" ht="25.5">
      <c r="A191" s="308">
        <v>183</v>
      </c>
      <c r="B191" s="359">
        <v>43053</v>
      </c>
      <c r="C191" s="305" t="s">
        <v>514</v>
      </c>
      <c r="D191" s="308" t="s">
        <v>686</v>
      </c>
      <c r="E191" s="308">
        <v>6</v>
      </c>
      <c r="F191" s="350" t="s">
        <v>711</v>
      </c>
      <c r="G191" s="308" t="s">
        <v>522</v>
      </c>
      <c r="H191" s="308">
        <v>7</v>
      </c>
      <c r="I191" s="308">
        <v>2</v>
      </c>
      <c r="J191" s="308">
        <v>345</v>
      </c>
      <c r="K191" s="308">
        <v>1</v>
      </c>
      <c r="L191" s="349"/>
      <c r="M191" s="346">
        <f t="shared" si="10"/>
        <v>14</v>
      </c>
      <c r="N191" s="346">
        <f t="shared" si="11"/>
        <v>2415</v>
      </c>
      <c r="O191" s="348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  <c r="AO191" s="309"/>
      <c r="AP191" s="309"/>
      <c r="AQ191" s="309"/>
      <c r="AR191" s="309"/>
      <c r="AS191" s="309"/>
      <c r="AT191" s="309"/>
      <c r="AU191" s="309"/>
      <c r="AV191" s="309"/>
      <c r="AW191" s="309"/>
      <c r="AX191" s="309"/>
      <c r="AY191" s="309"/>
      <c r="AZ191" s="309"/>
      <c r="BA191" s="309"/>
      <c r="BB191" s="309"/>
      <c r="BC191" s="309"/>
      <c r="BD191" s="309"/>
      <c r="BE191" s="309"/>
      <c r="BF191" s="309"/>
      <c r="BG191" s="309"/>
      <c r="BH191" s="309"/>
      <c r="BI191" s="309"/>
      <c r="BJ191" s="309"/>
      <c r="BK191" s="309"/>
      <c r="BL191" s="309"/>
      <c r="BM191" s="309"/>
      <c r="BN191" s="309"/>
      <c r="BO191" s="309"/>
      <c r="BP191" s="309"/>
      <c r="BQ191" s="309"/>
      <c r="BR191" s="309"/>
      <c r="BS191" s="309"/>
      <c r="BT191" s="309"/>
      <c r="BU191" s="309"/>
      <c r="BV191" s="309"/>
      <c r="BW191" s="309"/>
      <c r="BX191" s="309"/>
      <c r="BY191" s="309"/>
      <c r="BZ191" s="309"/>
      <c r="CA191" s="309"/>
      <c r="CB191" s="309"/>
      <c r="CC191" s="309"/>
      <c r="CD191" s="309"/>
      <c r="CE191" s="309"/>
      <c r="CF191" s="309"/>
      <c r="CG191" s="309"/>
      <c r="CH191" s="309"/>
      <c r="CI191" s="309"/>
      <c r="CJ191" s="309"/>
      <c r="CK191" s="309"/>
      <c r="CL191" s="309"/>
      <c r="CM191" s="309"/>
      <c r="CN191" s="309"/>
      <c r="CO191" s="309"/>
      <c r="CP191" s="309"/>
      <c r="CQ191" s="309"/>
      <c r="CR191" s="309"/>
      <c r="CS191" s="309"/>
      <c r="CT191" s="309"/>
      <c r="CU191" s="309"/>
      <c r="CV191" s="309"/>
      <c r="CW191" s="309"/>
      <c r="CX191" s="309"/>
      <c r="CY191" s="309"/>
      <c r="CZ191" s="309"/>
      <c r="DA191" s="309"/>
      <c r="DB191" s="309"/>
      <c r="DC191" s="309"/>
      <c r="DD191" s="309"/>
      <c r="DE191" s="309"/>
      <c r="DF191" s="309"/>
      <c r="DG191" s="309"/>
      <c r="DH191" s="309"/>
      <c r="DI191" s="309"/>
      <c r="DJ191" s="309"/>
      <c r="DK191" s="309"/>
      <c r="DL191" s="309"/>
      <c r="DM191" s="309"/>
      <c r="DN191" s="309"/>
      <c r="DO191" s="309"/>
      <c r="DP191" s="309"/>
      <c r="DQ191" s="309"/>
      <c r="DR191" s="309"/>
      <c r="DS191" s="309"/>
      <c r="DT191" s="309"/>
      <c r="DU191" s="309"/>
      <c r="DV191" s="309"/>
      <c r="DW191" s="309"/>
      <c r="DX191" s="309"/>
      <c r="DY191" s="309"/>
      <c r="DZ191" s="309"/>
      <c r="EA191" s="309"/>
      <c r="EB191" s="309"/>
      <c r="EC191" s="309"/>
      <c r="ED191" s="309"/>
      <c r="EE191" s="309"/>
      <c r="EF191" s="309"/>
      <c r="EG191" s="309"/>
      <c r="EH191" s="309"/>
      <c r="EI191" s="309"/>
      <c r="EJ191" s="309"/>
      <c r="EK191" s="309"/>
      <c r="EL191" s="309"/>
      <c r="EM191" s="309"/>
      <c r="EN191" s="309"/>
      <c r="EO191" s="309"/>
      <c r="EP191" s="309"/>
      <c r="EQ191" s="309"/>
      <c r="ER191" s="309"/>
      <c r="ES191" s="309"/>
      <c r="ET191" s="309"/>
      <c r="EU191" s="309"/>
      <c r="EV191" s="309"/>
      <c r="EW191" s="309"/>
      <c r="EX191" s="309"/>
      <c r="EY191" s="309"/>
      <c r="EZ191" s="309"/>
      <c r="FA191" s="309"/>
      <c r="FB191" s="309"/>
      <c r="FC191" s="309"/>
      <c r="FD191" s="309"/>
      <c r="FE191" s="309"/>
      <c r="FF191" s="309"/>
      <c r="FG191" s="309"/>
      <c r="FH191" s="309"/>
      <c r="FI191" s="309"/>
      <c r="FJ191" s="309"/>
      <c r="FK191" s="309"/>
      <c r="FL191" s="309"/>
      <c r="FM191" s="309"/>
      <c r="FN191" s="309"/>
      <c r="FO191" s="309"/>
      <c r="FP191" s="309"/>
      <c r="FQ191" s="309"/>
      <c r="FR191" s="309"/>
      <c r="FS191" s="309"/>
      <c r="FT191" s="309"/>
      <c r="FU191" s="309"/>
      <c r="FV191" s="309"/>
      <c r="FW191" s="309"/>
      <c r="FX191" s="309"/>
      <c r="FY191" s="309"/>
      <c r="FZ191" s="309"/>
      <c r="GA191" s="309"/>
      <c r="GB191" s="309"/>
      <c r="GC191" s="309"/>
      <c r="GD191" s="309"/>
      <c r="GE191" s="309"/>
      <c r="GF191" s="309"/>
      <c r="GG191" s="309"/>
      <c r="GH191" s="309"/>
      <c r="GI191" s="309"/>
      <c r="GJ191" s="309"/>
      <c r="GK191" s="309"/>
      <c r="GL191" s="309"/>
      <c r="GM191" s="309"/>
      <c r="GN191" s="309"/>
      <c r="GO191" s="309"/>
      <c r="GP191" s="309"/>
      <c r="GQ191" s="309"/>
      <c r="GR191" s="309"/>
      <c r="GS191" s="309"/>
      <c r="GT191" s="309"/>
      <c r="GU191" s="309"/>
      <c r="GV191" s="309"/>
      <c r="GW191" s="309"/>
      <c r="GX191" s="309"/>
      <c r="GY191" s="309"/>
      <c r="GZ191" s="309"/>
      <c r="HA191" s="309"/>
      <c r="HB191" s="309"/>
      <c r="HC191" s="309"/>
      <c r="HD191" s="309"/>
      <c r="HE191" s="309"/>
      <c r="HF191" s="309"/>
      <c r="HG191" s="309"/>
      <c r="HH191" s="309"/>
      <c r="HI191" s="309"/>
      <c r="HJ191" s="309"/>
      <c r="HK191" s="309"/>
      <c r="HL191" s="309"/>
      <c r="HM191" s="309"/>
      <c r="HN191" s="309"/>
      <c r="HO191" s="309"/>
      <c r="HP191" s="309"/>
      <c r="HQ191" s="309"/>
      <c r="HR191" s="309"/>
      <c r="HS191" s="309"/>
      <c r="HT191" s="309"/>
      <c r="HU191" s="309"/>
      <c r="HV191" s="309"/>
      <c r="HW191" s="309"/>
      <c r="HX191" s="309"/>
      <c r="HY191" s="309"/>
      <c r="HZ191" s="309"/>
      <c r="IA191" s="309"/>
      <c r="IB191" s="309"/>
      <c r="IC191" s="309"/>
      <c r="ID191" s="309"/>
      <c r="IE191" s="309"/>
    </row>
    <row r="192" spans="1:239" ht="25.5">
      <c r="A192" s="308">
        <v>184</v>
      </c>
      <c r="B192" s="359">
        <v>43056</v>
      </c>
      <c r="C192" s="305" t="s">
        <v>514</v>
      </c>
      <c r="D192" s="308" t="s">
        <v>553</v>
      </c>
      <c r="E192" s="308">
        <v>6</v>
      </c>
      <c r="F192" s="350" t="s">
        <v>711</v>
      </c>
      <c r="G192" s="308" t="s">
        <v>522</v>
      </c>
      <c r="H192" s="308">
        <v>0.92</v>
      </c>
      <c r="I192" s="308">
        <v>9</v>
      </c>
      <c r="J192" s="308">
        <v>796</v>
      </c>
      <c r="K192" s="308">
        <v>1</v>
      </c>
      <c r="L192" s="349"/>
      <c r="M192" s="346">
        <f t="shared" si="10"/>
        <v>8.280000000000001</v>
      </c>
      <c r="N192" s="346">
        <f t="shared" si="11"/>
        <v>732.32</v>
      </c>
      <c r="O192" s="348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  <c r="AO192" s="309"/>
      <c r="AP192" s="309"/>
      <c r="AQ192" s="309"/>
      <c r="AR192" s="309"/>
      <c r="AS192" s="309"/>
      <c r="AT192" s="309"/>
      <c r="AU192" s="309"/>
      <c r="AV192" s="309"/>
      <c r="AW192" s="309"/>
      <c r="AX192" s="309"/>
      <c r="AY192" s="309"/>
      <c r="AZ192" s="309"/>
      <c r="BA192" s="309"/>
      <c r="BB192" s="309"/>
      <c r="BC192" s="309"/>
      <c r="BD192" s="309"/>
      <c r="BE192" s="309"/>
      <c r="BF192" s="309"/>
      <c r="BG192" s="309"/>
      <c r="BH192" s="309"/>
      <c r="BI192" s="309"/>
      <c r="BJ192" s="309"/>
      <c r="BK192" s="309"/>
      <c r="BL192" s="309"/>
      <c r="BM192" s="309"/>
      <c r="BN192" s="309"/>
      <c r="BO192" s="309"/>
      <c r="BP192" s="309"/>
      <c r="BQ192" s="309"/>
      <c r="BR192" s="309"/>
      <c r="BS192" s="309"/>
      <c r="BT192" s="309"/>
      <c r="BU192" s="309"/>
      <c r="BV192" s="309"/>
      <c r="BW192" s="309"/>
      <c r="BX192" s="309"/>
      <c r="BY192" s="309"/>
      <c r="BZ192" s="309"/>
      <c r="CA192" s="309"/>
      <c r="CB192" s="309"/>
      <c r="CC192" s="309"/>
      <c r="CD192" s="309"/>
      <c r="CE192" s="309"/>
      <c r="CF192" s="309"/>
      <c r="CG192" s="309"/>
      <c r="CH192" s="309"/>
      <c r="CI192" s="309"/>
      <c r="CJ192" s="309"/>
      <c r="CK192" s="309"/>
      <c r="CL192" s="309"/>
      <c r="CM192" s="309"/>
      <c r="CN192" s="309"/>
      <c r="CO192" s="309"/>
      <c r="CP192" s="309"/>
      <c r="CQ192" s="309"/>
      <c r="CR192" s="309"/>
      <c r="CS192" s="309"/>
      <c r="CT192" s="309"/>
      <c r="CU192" s="309"/>
      <c r="CV192" s="309"/>
      <c r="CW192" s="309"/>
      <c r="CX192" s="309"/>
      <c r="CY192" s="309"/>
      <c r="CZ192" s="309"/>
      <c r="DA192" s="309"/>
      <c r="DB192" s="309"/>
      <c r="DC192" s="309"/>
      <c r="DD192" s="309"/>
      <c r="DE192" s="309"/>
      <c r="DF192" s="309"/>
      <c r="DG192" s="309"/>
      <c r="DH192" s="309"/>
      <c r="DI192" s="309"/>
      <c r="DJ192" s="309"/>
      <c r="DK192" s="309"/>
      <c r="DL192" s="309"/>
      <c r="DM192" s="309"/>
      <c r="DN192" s="309"/>
      <c r="DO192" s="309"/>
      <c r="DP192" s="309"/>
      <c r="DQ192" s="309"/>
      <c r="DR192" s="309"/>
      <c r="DS192" s="309"/>
      <c r="DT192" s="309"/>
      <c r="DU192" s="309"/>
      <c r="DV192" s="309"/>
      <c r="DW192" s="309"/>
      <c r="DX192" s="309"/>
      <c r="DY192" s="309"/>
      <c r="DZ192" s="309"/>
      <c r="EA192" s="309"/>
      <c r="EB192" s="309"/>
      <c r="EC192" s="309"/>
      <c r="ED192" s="309"/>
      <c r="EE192" s="309"/>
      <c r="EF192" s="309"/>
      <c r="EG192" s="309"/>
      <c r="EH192" s="309"/>
      <c r="EI192" s="309"/>
      <c r="EJ192" s="309"/>
      <c r="EK192" s="309"/>
      <c r="EL192" s="309"/>
      <c r="EM192" s="309"/>
      <c r="EN192" s="309"/>
      <c r="EO192" s="309"/>
      <c r="EP192" s="309"/>
      <c r="EQ192" s="309"/>
      <c r="ER192" s="309"/>
      <c r="ES192" s="309"/>
      <c r="ET192" s="309"/>
      <c r="EU192" s="309"/>
      <c r="EV192" s="309"/>
      <c r="EW192" s="309"/>
      <c r="EX192" s="309"/>
      <c r="EY192" s="309"/>
      <c r="EZ192" s="309"/>
      <c r="FA192" s="309"/>
      <c r="FB192" s="309"/>
      <c r="FC192" s="309"/>
      <c r="FD192" s="309"/>
      <c r="FE192" s="309"/>
      <c r="FF192" s="309"/>
      <c r="FG192" s="309"/>
      <c r="FH192" s="309"/>
      <c r="FI192" s="309"/>
      <c r="FJ192" s="309"/>
      <c r="FK192" s="309"/>
      <c r="FL192" s="309"/>
      <c r="FM192" s="309"/>
      <c r="FN192" s="309"/>
      <c r="FO192" s="309"/>
      <c r="FP192" s="309"/>
      <c r="FQ192" s="309"/>
      <c r="FR192" s="309"/>
      <c r="FS192" s="309"/>
      <c r="FT192" s="309"/>
      <c r="FU192" s="309"/>
      <c r="FV192" s="309"/>
      <c r="FW192" s="309"/>
      <c r="FX192" s="309"/>
      <c r="FY192" s="309"/>
      <c r="FZ192" s="309"/>
      <c r="GA192" s="309"/>
      <c r="GB192" s="309"/>
      <c r="GC192" s="309"/>
      <c r="GD192" s="309"/>
      <c r="GE192" s="309"/>
      <c r="GF192" s="309"/>
      <c r="GG192" s="309"/>
      <c r="GH192" s="309"/>
      <c r="GI192" s="309"/>
      <c r="GJ192" s="309"/>
      <c r="GK192" s="309"/>
      <c r="GL192" s="309"/>
      <c r="GM192" s="309"/>
      <c r="GN192" s="309"/>
      <c r="GO192" s="309"/>
      <c r="GP192" s="309"/>
      <c r="GQ192" s="309"/>
      <c r="GR192" s="309"/>
      <c r="GS192" s="309"/>
      <c r="GT192" s="309"/>
      <c r="GU192" s="309"/>
      <c r="GV192" s="309"/>
      <c r="GW192" s="309"/>
      <c r="GX192" s="309"/>
      <c r="GY192" s="309"/>
      <c r="GZ192" s="309"/>
      <c r="HA192" s="309"/>
      <c r="HB192" s="309"/>
      <c r="HC192" s="309"/>
      <c r="HD192" s="309"/>
      <c r="HE192" s="309"/>
      <c r="HF192" s="309"/>
      <c r="HG192" s="309"/>
      <c r="HH192" s="309"/>
      <c r="HI192" s="309"/>
      <c r="HJ192" s="309"/>
      <c r="HK192" s="309"/>
      <c r="HL192" s="309"/>
      <c r="HM192" s="309"/>
      <c r="HN192" s="309"/>
      <c r="HO192" s="309"/>
      <c r="HP192" s="309"/>
      <c r="HQ192" s="309"/>
      <c r="HR192" s="309"/>
      <c r="HS192" s="309"/>
      <c r="HT192" s="309"/>
      <c r="HU192" s="309"/>
      <c r="HV192" s="309"/>
      <c r="HW192" s="309"/>
      <c r="HX192" s="309"/>
      <c r="HY192" s="309"/>
      <c r="HZ192" s="309"/>
      <c r="IA192" s="309"/>
      <c r="IB192" s="309"/>
      <c r="IC192" s="309"/>
      <c r="ID192" s="309"/>
      <c r="IE192" s="309"/>
    </row>
    <row r="193" spans="1:239" ht="25.5">
      <c r="A193" s="308">
        <v>185</v>
      </c>
      <c r="B193" s="359">
        <v>43062</v>
      </c>
      <c r="C193" s="305" t="s">
        <v>514</v>
      </c>
      <c r="D193" s="308" t="s">
        <v>687</v>
      </c>
      <c r="E193" s="308">
        <v>6</v>
      </c>
      <c r="F193" s="350" t="s">
        <v>711</v>
      </c>
      <c r="G193" s="308" t="s">
        <v>522</v>
      </c>
      <c r="H193" s="308">
        <v>6</v>
      </c>
      <c r="I193" s="308">
        <v>0</v>
      </c>
      <c r="J193" s="308">
        <v>0</v>
      </c>
      <c r="K193" s="308">
        <v>1</v>
      </c>
      <c r="L193" s="349"/>
      <c r="M193" s="346">
        <f t="shared" si="10"/>
        <v>0</v>
      </c>
      <c r="N193" s="346">
        <f t="shared" si="11"/>
        <v>0</v>
      </c>
      <c r="O193" s="348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/>
      <c r="AT193" s="309"/>
      <c r="AU193" s="309"/>
      <c r="AV193" s="309"/>
      <c r="AW193" s="309"/>
      <c r="AX193" s="309"/>
      <c r="AY193" s="309"/>
      <c r="AZ193" s="309"/>
      <c r="BA193" s="309"/>
      <c r="BB193" s="309"/>
      <c r="BC193" s="309"/>
      <c r="BD193" s="309"/>
      <c r="BE193" s="309"/>
      <c r="BF193" s="309"/>
      <c r="BG193" s="309"/>
      <c r="BH193" s="309"/>
      <c r="BI193" s="309"/>
      <c r="BJ193" s="309"/>
      <c r="BK193" s="309"/>
      <c r="BL193" s="309"/>
      <c r="BM193" s="309"/>
      <c r="BN193" s="309"/>
      <c r="BO193" s="309"/>
      <c r="BP193" s="309"/>
      <c r="BQ193" s="309"/>
      <c r="BR193" s="309"/>
      <c r="BS193" s="309"/>
      <c r="BT193" s="309"/>
      <c r="BU193" s="309"/>
      <c r="BV193" s="309"/>
      <c r="BW193" s="309"/>
      <c r="BX193" s="309"/>
      <c r="BY193" s="309"/>
      <c r="BZ193" s="309"/>
      <c r="CA193" s="309"/>
      <c r="CB193" s="309"/>
      <c r="CC193" s="309"/>
      <c r="CD193" s="309"/>
      <c r="CE193" s="309"/>
      <c r="CF193" s="309"/>
      <c r="CG193" s="309"/>
      <c r="CH193" s="309"/>
      <c r="CI193" s="309"/>
      <c r="CJ193" s="309"/>
      <c r="CK193" s="309"/>
      <c r="CL193" s="309"/>
      <c r="CM193" s="309"/>
      <c r="CN193" s="309"/>
      <c r="CO193" s="309"/>
      <c r="CP193" s="309"/>
      <c r="CQ193" s="309"/>
      <c r="CR193" s="309"/>
      <c r="CS193" s="309"/>
      <c r="CT193" s="309"/>
      <c r="CU193" s="309"/>
      <c r="CV193" s="309"/>
      <c r="CW193" s="309"/>
      <c r="CX193" s="309"/>
      <c r="CY193" s="309"/>
      <c r="CZ193" s="309"/>
      <c r="DA193" s="309"/>
      <c r="DB193" s="309"/>
      <c r="DC193" s="309"/>
      <c r="DD193" s="309"/>
      <c r="DE193" s="309"/>
      <c r="DF193" s="309"/>
      <c r="DG193" s="309"/>
      <c r="DH193" s="309"/>
      <c r="DI193" s="309"/>
      <c r="DJ193" s="309"/>
      <c r="DK193" s="309"/>
      <c r="DL193" s="309"/>
      <c r="DM193" s="309"/>
      <c r="DN193" s="309"/>
      <c r="DO193" s="309"/>
      <c r="DP193" s="309"/>
      <c r="DQ193" s="309"/>
      <c r="DR193" s="309"/>
      <c r="DS193" s="309"/>
      <c r="DT193" s="309"/>
      <c r="DU193" s="309"/>
      <c r="DV193" s="309"/>
      <c r="DW193" s="309"/>
      <c r="DX193" s="309"/>
      <c r="DY193" s="309"/>
      <c r="DZ193" s="309"/>
      <c r="EA193" s="309"/>
      <c r="EB193" s="309"/>
      <c r="EC193" s="309"/>
      <c r="ED193" s="309"/>
      <c r="EE193" s="309"/>
      <c r="EF193" s="309"/>
      <c r="EG193" s="309"/>
      <c r="EH193" s="309"/>
      <c r="EI193" s="309"/>
      <c r="EJ193" s="309"/>
      <c r="EK193" s="309"/>
      <c r="EL193" s="309"/>
      <c r="EM193" s="309"/>
      <c r="EN193" s="309"/>
      <c r="EO193" s="309"/>
      <c r="EP193" s="309"/>
      <c r="EQ193" s="309"/>
      <c r="ER193" s="309"/>
      <c r="ES193" s="309"/>
      <c r="ET193" s="309"/>
      <c r="EU193" s="309"/>
      <c r="EV193" s="309"/>
      <c r="EW193" s="309"/>
      <c r="EX193" s="309"/>
      <c r="EY193" s="309"/>
      <c r="EZ193" s="309"/>
      <c r="FA193" s="309"/>
      <c r="FB193" s="309"/>
      <c r="FC193" s="309"/>
      <c r="FD193" s="309"/>
      <c r="FE193" s="309"/>
      <c r="FF193" s="309"/>
      <c r="FG193" s="309"/>
      <c r="FH193" s="309"/>
      <c r="FI193" s="309"/>
      <c r="FJ193" s="309"/>
      <c r="FK193" s="309"/>
      <c r="FL193" s="309"/>
      <c r="FM193" s="309"/>
      <c r="FN193" s="309"/>
      <c r="FO193" s="309"/>
      <c r="FP193" s="309"/>
      <c r="FQ193" s="309"/>
      <c r="FR193" s="309"/>
      <c r="FS193" s="309"/>
      <c r="FT193" s="309"/>
      <c r="FU193" s="309"/>
      <c r="FV193" s="309"/>
      <c r="FW193" s="309"/>
      <c r="FX193" s="309"/>
      <c r="FY193" s="309"/>
      <c r="FZ193" s="309"/>
      <c r="GA193" s="309"/>
      <c r="GB193" s="309"/>
      <c r="GC193" s="309"/>
      <c r="GD193" s="309"/>
      <c r="GE193" s="309"/>
      <c r="GF193" s="309"/>
      <c r="GG193" s="309"/>
      <c r="GH193" s="309"/>
      <c r="GI193" s="309"/>
      <c r="GJ193" s="309"/>
      <c r="GK193" s="309"/>
      <c r="GL193" s="309"/>
      <c r="GM193" s="309"/>
      <c r="GN193" s="309"/>
      <c r="GO193" s="309"/>
      <c r="GP193" s="309"/>
      <c r="GQ193" s="309"/>
      <c r="GR193" s="309"/>
      <c r="GS193" s="309"/>
      <c r="GT193" s="309"/>
      <c r="GU193" s="309"/>
      <c r="GV193" s="309"/>
      <c r="GW193" s="309"/>
      <c r="GX193" s="309"/>
      <c r="GY193" s="309"/>
      <c r="GZ193" s="309"/>
      <c r="HA193" s="309"/>
      <c r="HB193" s="309"/>
      <c r="HC193" s="309"/>
      <c r="HD193" s="309"/>
      <c r="HE193" s="309"/>
      <c r="HF193" s="309"/>
      <c r="HG193" s="309"/>
      <c r="HH193" s="309"/>
      <c r="HI193" s="309"/>
      <c r="HJ193" s="309"/>
      <c r="HK193" s="309"/>
      <c r="HL193" s="309"/>
      <c r="HM193" s="309"/>
      <c r="HN193" s="309"/>
      <c r="HO193" s="309"/>
      <c r="HP193" s="309"/>
      <c r="HQ193" s="309"/>
      <c r="HR193" s="309"/>
      <c r="HS193" s="309"/>
      <c r="HT193" s="309"/>
      <c r="HU193" s="309"/>
      <c r="HV193" s="309"/>
      <c r="HW193" s="309"/>
      <c r="HX193" s="309"/>
      <c r="HY193" s="309"/>
      <c r="HZ193" s="309"/>
      <c r="IA193" s="309"/>
      <c r="IB193" s="309"/>
      <c r="IC193" s="309"/>
      <c r="ID193" s="309"/>
      <c r="IE193" s="309"/>
    </row>
    <row r="194" spans="1:239" ht="25.5">
      <c r="A194" s="307">
        <v>1</v>
      </c>
      <c r="B194" s="357">
        <v>43087</v>
      </c>
      <c r="C194" s="307" t="s">
        <v>517</v>
      </c>
      <c r="D194" s="307" t="s">
        <v>688</v>
      </c>
      <c r="E194" s="307">
        <v>10</v>
      </c>
      <c r="F194" s="355" t="s">
        <v>711</v>
      </c>
      <c r="G194" s="307" t="s">
        <v>516</v>
      </c>
      <c r="H194" s="307">
        <v>0.22</v>
      </c>
      <c r="I194" s="307">
        <v>23</v>
      </c>
      <c r="J194" s="307">
        <v>292.92</v>
      </c>
      <c r="K194" s="307">
        <v>1</v>
      </c>
      <c r="L194" s="347"/>
      <c r="M194" s="346">
        <f t="shared" si="10"/>
        <v>5.06</v>
      </c>
      <c r="N194" s="346">
        <f t="shared" si="11"/>
        <v>64.4424</v>
      </c>
      <c r="O194" s="34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6"/>
      <c r="AX194" s="306"/>
      <c r="AY194" s="306"/>
      <c r="AZ194" s="306"/>
      <c r="BA194" s="306"/>
      <c r="BB194" s="306"/>
      <c r="BC194" s="306"/>
      <c r="BD194" s="306"/>
      <c r="BE194" s="306"/>
      <c r="BF194" s="306"/>
      <c r="BG194" s="306"/>
      <c r="BH194" s="306"/>
      <c r="BI194" s="306"/>
      <c r="BJ194" s="306"/>
      <c r="BK194" s="306"/>
      <c r="BL194" s="306"/>
      <c r="BM194" s="306"/>
      <c r="BN194" s="306"/>
      <c r="BO194" s="306"/>
      <c r="BP194" s="306"/>
      <c r="BQ194" s="306"/>
      <c r="BR194" s="306"/>
      <c r="BS194" s="306"/>
      <c r="BT194" s="306"/>
      <c r="BU194" s="306"/>
      <c r="BV194" s="306"/>
      <c r="BW194" s="306"/>
      <c r="BX194" s="306"/>
      <c r="BY194" s="306"/>
      <c r="BZ194" s="306"/>
      <c r="CA194" s="306"/>
      <c r="CB194" s="306"/>
      <c r="CC194" s="306"/>
      <c r="CD194" s="306"/>
      <c r="CE194" s="306"/>
      <c r="CF194" s="306"/>
      <c r="CG194" s="306"/>
      <c r="CH194" s="306"/>
      <c r="CI194" s="306"/>
      <c r="CJ194" s="306"/>
      <c r="CK194" s="306"/>
      <c r="CL194" s="306"/>
      <c r="CM194" s="306"/>
      <c r="CN194" s="306"/>
      <c r="CO194" s="306"/>
      <c r="CP194" s="306"/>
      <c r="CQ194" s="306"/>
      <c r="CR194" s="306"/>
      <c r="CS194" s="306"/>
      <c r="CT194" s="306"/>
      <c r="CU194" s="306"/>
      <c r="CV194" s="306"/>
      <c r="CW194" s="306"/>
      <c r="CX194" s="306"/>
      <c r="CY194" s="306"/>
      <c r="CZ194" s="306"/>
      <c r="DA194" s="306"/>
      <c r="DB194" s="306"/>
      <c r="DC194" s="306"/>
      <c r="DD194" s="306"/>
      <c r="DE194" s="306"/>
      <c r="DF194" s="306"/>
      <c r="DG194" s="306"/>
      <c r="DH194" s="306"/>
      <c r="DI194" s="306"/>
      <c r="DJ194" s="306"/>
      <c r="DK194" s="306"/>
      <c r="DL194" s="306"/>
      <c r="DM194" s="306"/>
      <c r="DN194" s="306"/>
      <c r="DO194" s="306"/>
      <c r="DP194" s="306"/>
      <c r="DQ194" s="306"/>
      <c r="DR194" s="306"/>
      <c r="DS194" s="306"/>
      <c r="DT194" s="306"/>
      <c r="DU194" s="306"/>
      <c r="DV194" s="306"/>
      <c r="DW194" s="306"/>
      <c r="DX194" s="306"/>
      <c r="DY194" s="306"/>
      <c r="DZ194" s="306"/>
      <c r="EA194" s="306"/>
      <c r="EB194" s="306"/>
      <c r="EC194" s="306"/>
      <c r="ED194" s="306"/>
      <c r="EE194" s="306"/>
      <c r="EF194" s="306"/>
      <c r="EG194" s="306"/>
      <c r="EH194" s="306"/>
      <c r="EI194" s="306"/>
      <c r="EJ194" s="306"/>
      <c r="EK194" s="306"/>
      <c r="EL194" s="306"/>
      <c r="EM194" s="306"/>
      <c r="EN194" s="306"/>
      <c r="EO194" s="306"/>
      <c r="EP194" s="306"/>
      <c r="EQ194" s="306"/>
      <c r="ER194" s="306"/>
      <c r="ES194" s="306"/>
      <c r="ET194" s="306"/>
      <c r="EU194" s="306"/>
      <c r="EV194" s="306"/>
      <c r="EW194" s="306"/>
      <c r="EX194" s="306"/>
      <c r="EY194" s="306"/>
      <c r="EZ194" s="306"/>
      <c r="FA194" s="306"/>
      <c r="FB194" s="306"/>
      <c r="FC194" s="306"/>
      <c r="FD194" s="306"/>
      <c r="FE194" s="306"/>
      <c r="FF194" s="306"/>
      <c r="FG194" s="306"/>
      <c r="FH194" s="306"/>
      <c r="FI194" s="306"/>
      <c r="FJ194" s="306"/>
      <c r="FK194" s="306"/>
      <c r="FL194" s="306"/>
      <c r="FM194" s="306"/>
      <c r="FN194" s="306"/>
      <c r="FO194" s="306"/>
      <c r="FP194" s="306"/>
      <c r="FQ194" s="306"/>
      <c r="FR194" s="306"/>
      <c r="FS194" s="306"/>
      <c r="FT194" s="306"/>
      <c r="FU194" s="306"/>
      <c r="FV194" s="306"/>
      <c r="FW194" s="306"/>
      <c r="FX194" s="306"/>
      <c r="FY194" s="306"/>
      <c r="FZ194" s="306"/>
      <c r="GA194" s="306"/>
      <c r="GB194" s="306"/>
      <c r="GC194" s="306"/>
      <c r="GD194" s="306"/>
      <c r="GE194" s="306"/>
      <c r="GF194" s="306"/>
      <c r="GG194" s="306"/>
      <c r="GH194" s="306"/>
      <c r="GI194" s="306"/>
      <c r="GJ194" s="306"/>
      <c r="GK194" s="306"/>
      <c r="GL194" s="306"/>
      <c r="GM194" s="306"/>
      <c r="GN194" s="306"/>
      <c r="GO194" s="306"/>
      <c r="GP194" s="306"/>
      <c r="GQ194" s="306"/>
      <c r="GR194" s="306"/>
      <c r="GS194" s="306"/>
      <c r="GT194" s="306"/>
      <c r="GU194" s="306"/>
      <c r="GV194" s="306"/>
      <c r="GW194" s="306"/>
      <c r="GX194" s="306"/>
      <c r="GY194" s="306"/>
      <c r="GZ194" s="306"/>
      <c r="HA194" s="306"/>
      <c r="HB194" s="306"/>
      <c r="HC194" s="306"/>
      <c r="HD194" s="306"/>
      <c r="HE194" s="306"/>
      <c r="HF194" s="306"/>
      <c r="HG194" s="306"/>
      <c r="HH194" s="306"/>
      <c r="HI194" s="306"/>
      <c r="HJ194" s="306"/>
      <c r="HK194" s="306"/>
      <c r="HL194" s="306"/>
      <c r="HM194" s="306"/>
      <c r="HN194" s="306"/>
      <c r="HO194" s="306"/>
      <c r="HP194" s="306"/>
      <c r="HQ194" s="306"/>
      <c r="HR194" s="306"/>
      <c r="HS194" s="306"/>
      <c r="HT194" s="306"/>
      <c r="HU194" s="306"/>
      <c r="HV194" s="306"/>
      <c r="HW194" s="306"/>
      <c r="HX194" s="306"/>
      <c r="HY194" s="306"/>
      <c r="HZ194" s="306"/>
      <c r="IA194" s="306"/>
      <c r="IB194" s="306"/>
      <c r="IC194" s="306"/>
      <c r="ID194" s="306"/>
      <c r="IE194" s="306"/>
    </row>
    <row r="195" spans="1:239" ht="25.5">
      <c r="A195" s="307">
        <v>2</v>
      </c>
      <c r="B195" s="357">
        <v>43087</v>
      </c>
      <c r="C195" s="307" t="s">
        <v>517</v>
      </c>
      <c r="D195" s="307" t="s">
        <v>688</v>
      </c>
      <c r="E195" s="307">
        <v>0.4</v>
      </c>
      <c r="F195" s="355" t="s">
        <v>711</v>
      </c>
      <c r="G195" s="307" t="s">
        <v>516</v>
      </c>
      <c r="H195" s="307">
        <v>0.92</v>
      </c>
      <c r="I195" s="307">
        <v>3</v>
      </c>
      <c r="J195" s="307">
        <v>25.95</v>
      </c>
      <c r="K195" s="307">
        <v>1</v>
      </c>
      <c r="L195" s="347"/>
      <c r="M195" s="346">
        <f t="shared" si="10"/>
        <v>2.7600000000000002</v>
      </c>
      <c r="N195" s="346">
        <f t="shared" si="11"/>
        <v>23.874</v>
      </c>
      <c r="O195" s="34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6"/>
      <c r="BF195" s="306"/>
      <c r="BG195" s="306"/>
      <c r="BH195" s="306"/>
      <c r="BI195" s="306"/>
      <c r="BJ195" s="306"/>
      <c r="BK195" s="306"/>
      <c r="BL195" s="306"/>
      <c r="BM195" s="306"/>
      <c r="BN195" s="306"/>
      <c r="BO195" s="306"/>
      <c r="BP195" s="306"/>
      <c r="BQ195" s="306"/>
      <c r="BR195" s="306"/>
      <c r="BS195" s="306"/>
      <c r="BT195" s="306"/>
      <c r="BU195" s="306"/>
      <c r="BV195" s="306"/>
      <c r="BW195" s="306"/>
      <c r="BX195" s="306"/>
      <c r="BY195" s="306"/>
      <c r="BZ195" s="306"/>
      <c r="CA195" s="306"/>
      <c r="CB195" s="306"/>
      <c r="CC195" s="306"/>
      <c r="CD195" s="306"/>
      <c r="CE195" s="306"/>
      <c r="CF195" s="306"/>
      <c r="CG195" s="306"/>
      <c r="CH195" s="306"/>
      <c r="CI195" s="306"/>
      <c r="CJ195" s="306"/>
      <c r="CK195" s="306"/>
      <c r="CL195" s="306"/>
      <c r="CM195" s="306"/>
      <c r="CN195" s="306"/>
      <c r="CO195" s="306"/>
      <c r="CP195" s="306"/>
      <c r="CQ195" s="306"/>
      <c r="CR195" s="306"/>
      <c r="CS195" s="306"/>
      <c r="CT195" s="306"/>
      <c r="CU195" s="306"/>
      <c r="CV195" s="306"/>
      <c r="CW195" s="306"/>
      <c r="CX195" s="306"/>
      <c r="CY195" s="306"/>
      <c r="CZ195" s="306"/>
      <c r="DA195" s="306"/>
      <c r="DB195" s="306"/>
      <c r="DC195" s="306"/>
      <c r="DD195" s="306"/>
      <c r="DE195" s="306"/>
      <c r="DF195" s="306"/>
      <c r="DG195" s="306"/>
      <c r="DH195" s="306"/>
      <c r="DI195" s="306"/>
      <c r="DJ195" s="306"/>
      <c r="DK195" s="306"/>
      <c r="DL195" s="306"/>
      <c r="DM195" s="306"/>
      <c r="DN195" s="306"/>
      <c r="DO195" s="306"/>
      <c r="DP195" s="306"/>
      <c r="DQ195" s="306"/>
      <c r="DR195" s="306"/>
      <c r="DS195" s="306"/>
      <c r="DT195" s="306"/>
      <c r="DU195" s="306"/>
      <c r="DV195" s="306"/>
      <c r="DW195" s="306"/>
      <c r="DX195" s="306"/>
      <c r="DY195" s="306"/>
      <c r="DZ195" s="306"/>
      <c r="EA195" s="306"/>
      <c r="EB195" s="306"/>
      <c r="EC195" s="306"/>
      <c r="ED195" s="306"/>
      <c r="EE195" s="306"/>
      <c r="EF195" s="306"/>
      <c r="EG195" s="306"/>
      <c r="EH195" s="306"/>
      <c r="EI195" s="306"/>
      <c r="EJ195" s="306"/>
      <c r="EK195" s="306"/>
      <c r="EL195" s="306"/>
      <c r="EM195" s="306"/>
      <c r="EN195" s="306"/>
      <c r="EO195" s="306"/>
      <c r="EP195" s="306"/>
      <c r="EQ195" s="306"/>
      <c r="ER195" s="306"/>
      <c r="ES195" s="306"/>
      <c r="ET195" s="306"/>
      <c r="EU195" s="306"/>
      <c r="EV195" s="306"/>
      <c r="EW195" s="306"/>
      <c r="EX195" s="306"/>
      <c r="EY195" s="306"/>
      <c r="EZ195" s="306"/>
      <c r="FA195" s="306"/>
      <c r="FB195" s="306"/>
      <c r="FC195" s="306"/>
      <c r="FD195" s="306"/>
      <c r="FE195" s="306"/>
      <c r="FF195" s="306"/>
      <c r="FG195" s="306"/>
      <c r="FH195" s="306"/>
      <c r="FI195" s="306"/>
      <c r="FJ195" s="306"/>
      <c r="FK195" s="306"/>
      <c r="FL195" s="306"/>
      <c r="FM195" s="306"/>
      <c r="FN195" s="306"/>
      <c r="FO195" s="306"/>
      <c r="FP195" s="306"/>
      <c r="FQ195" s="306"/>
      <c r="FR195" s="306"/>
      <c r="FS195" s="306"/>
      <c r="FT195" s="306"/>
      <c r="FU195" s="306"/>
      <c r="FV195" s="306"/>
      <c r="FW195" s="306"/>
      <c r="FX195" s="306"/>
      <c r="FY195" s="306"/>
      <c r="FZ195" s="306"/>
      <c r="GA195" s="306"/>
      <c r="GB195" s="306"/>
      <c r="GC195" s="306"/>
      <c r="GD195" s="306"/>
      <c r="GE195" s="306"/>
      <c r="GF195" s="306"/>
      <c r="GG195" s="306"/>
      <c r="GH195" s="306"/>
      <c r="GI195" s="306"/>
      <c r="GJ195" s="306"/>
      <c r="GK195" s="306"/>
      <c r="GL195" s="306"/>
      <c r="GM195" s="306"/>
      <c r="GN195" s="306"/>
      <c r="GO195" s="306"/>
      <c r="GP195" s="306"/>
      <c r="GQ195" s="306"/>
      <c r="GR195" s="306"/>
      <c r="GS195" s="306"/>
      <c r="GT195" s="306"/>
      <c r="GU195" s="306"/>
      <c r="GV195" s="306"/>
      <c r="GW195" s="306"/>
      <c r="GX195" s="306"/>
      <c r="GY195" s="306"/>
      <c r="GZ195" s="306"/>
      <c r="HA195" s="306"/>
      <c r="HB195" s="306"/>
      <c r="HC195" s="306"/>
      <c r="HD195" s="306"/>
      <c r="HE195" s="306"/>
      <c r="HF195" s="306"/>
      <c r="HG195" s="306"/>
      <c r="HH195" s="306"/>
      <c r="HI195" s="306"/>
      <c r="HJ195" s="306"/>
      <c r="HK195" s="306"/>
      <c r="HL195" s="306"/>
      <c r="HM195" s="306"/>
      <c r="HN195" s="306"/>
      <c r="HO195" s="306"/>
      <c r="HP195" s="306"/>
      <c r="HQ195" s="306"/>
      <c r="HR195" s="306"/>
      <c r="HS195" s="306"/>
      <c r="HT195" s="306"/>
      <c r="HU195" s="306"/>
      <c r="HV195" s="306"/>
      <c r="HW195" s="306"/>
      <c r="HX195" s="306"/>
      <c r="HY195" s="306"/>
      <c r="HZ195" s="306"/>
      <c r="IA195" s="306"/>
      <c r="IB195" s="306"/>
      <c r="IC195" s="306"/>
      <c r="ID195" s="306"/>
      <c r="IE195" s="306"/>
    </row>
    <row r="196" spans="1:239" ht="25.5">
      <c r="A196" s="307">
        <v>3</v>
      </c>
      <c r="B196" s="357">
        <v>43088</v>
      </c>
      <c r="C196" s="307" t="s">
        <v>517</v>
      </c>
      <c r="D196" s="307" t="s">
        <v>689</v>
      </c>
      <c r="E196" s="307">
        <v>0.4</v>
      </c>
      <c r="F196" s="355" t="s">
        <v>711</v>
      </c>
      <c r="G196" s="307" t="s">
        <v>522</v>
      </c>
      <c r="H196" s="307">
        <v>7.33</v>
      </c>
      <c r="I196" s="307">
        <v>1</v>
      </c>
      <c r="J196" s="307">
        <v>7.47</v>
      </c>
      <c r="K196" s="307">
        <v>1</v>
      </c>
      <c r="L196" s="347"/>
      <c r="M196" s="346">
        <f t="shared" si="10"/>
        <v>7.33</v>
      </c>
      <c r="N196" s="346">
        <f t="shared" si="11"/>
        <v>54.7551</v>
      </c>
      <c r="O196" s="34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306"/>
      <c r="AQ196" s="306"/>
      <c r="AR196" s="306"/>
      <c r="AS196" s="306"/>
      <c r="AT196" s="306"/>
      <c r="AU196" s="306"/>
      <c r="AV196" s="306"/>
      <c r="AW196" s="306"/>
      <c r="AX196" s="306"/>
      <c r="AY196" s="306"/>
      <c r="AZ196" s="306"/>
      <c r="BA196" s="306"/>
      <c r="BB196" s="306"/>
      <c r="BC196" s="306"/>
      <c r="BD196" s="306"/>
      <c r="BE196" s="306"/>
      <c r="BF196" s="306"/>
      <c r="BG196" s="306"/>
      <c r="BH196" s="306"/>
      <c r="BI196" s="306"/>
      <c r="BJ196" s="306"/>
      <c r="BK196" s="306"/>
      <c r="BL196" s="306"/>
      <c r="BM196" s="306"/>
      <c r="BN196" s="306"/>
      <c r="BO196" s="306"/>
      <c r="BP196" s="306"/>
      <c r="BQ196" s="306"/>
      <c r="BR196" s="306"/>
      <c r="BS196" s="306"/>
      <c r="BT196" s="306"/>
      <c r="BU196" s="306"/>
      <c r="BV196" s="306"/>
      <c r="BW196" s="306"/>
      <c r="BX196" s="306"/>
      <c r="BY196" s="306"/>
      <c r="BZ196" s="306"/>
      <c r="CA196" s="306"/>
      <c r="CB196" s="306"/>
      <c r="CC196" s="306"/>
      <c r="CD196" s="306"/>
      <c r="CE196" s="306"/>
      <c r="CF196" s="306"/>
      <c r="CG196" s="306"/>
      <c r="CH196" s="306"/>
      <c r="CI196" s="306"/>
      <c r="CJ196" s="306"/>
      <c r="CK196" s="306"/>
      <c r="CL196" s="306"/>
      <c r="CM196" s="306"/>
      <c r="CN196" s="306"/>
      <c r="CO196" s="306"/>
      <c r="CP196" s="306"/>
      <c r="CQ196" s="306"/>
      <c r="CR196" s="306"/>
      <c r="CS196" s="306"/>
      <c r="CT196" s="306"/>
      <c r="CU196" s="306"/>
      <c r="CV196" s="306"/>
      <c r="CW196" s="306"/>
      <c r="CX196" s="306"/>
      <c r="CY196" s="306"/>
      <c r="CZ196" s="306"/>
      <c r="DA196" s="306"/>
      <c r="DB196" s="306"/>
      <c r="DC196" s="306"/>
      <c r="DD196" s="306"/>
      <c r="DE196" s="306"/>
      <c r="DF196" s="306"/>
      <c r="DG196" s="306"/>
      <c r="DH196" s="306"/>
      <c r="DI196" s="306"/>
      <c r="DJ196" s="306"/>
      <c r="DK196" s="306"/>
      <c r="DL196" s="306"/>
      <c r="DM196" s="306"/>
      <c r="DN196" s="306"/>
      <c r="DO196" s="306"/>
      <c r="DP196" s="306"/>
      <c r="DQ196" s="306"/>
      <c r="DR196" s="306"/>
      <c r="DS196" s="306"/>
      <c r="DT196" s="306"/>
      <c r="DU196" s="306"/>
      <c r="DV196" s="306"/>
      <c r="DW196" s="306"/>
      <c r="DX196" s="306"/>
      <c r="DY196" s="306"/>
      <c r="DZ196" s="306"/>
      <c r="EA196" s="306"/>
      <c r="EB196" s="306"/>
      <c r="EC196" s="306"/>
      <c r="ED196" s="306"/>
      <c r="EE196" s="306"/>
      <c r="EF196" s="306"/>
      <c r="EG196" s="306"/>
      <c r="EH196" s="306"/>
      <c r="EI196" s="306"/>
      <c r="EJ196" s="306"/>
      <c r="EK196" s="306"/>
      <c r="EL196" s="306"/>
      <c r="EM196" s="306"/>
      <c r="EN196" s="306"/>
      <c r="EO196" s="306"/>
      <c r="EP196" s="306"/>
      <c r="EQ196" s="306"/>
      <c r="ER196" s="306"/>
      <c r="ES196" s="306"/>
      <c r="ET196" s="306"/>
      <c r="EU196" s="306"/>
      <c r="EV196" s="306"/>
      <c r="EW196" s="306"/>
      <c r="EX196" s="306"/>
      <c r="EY196" s="306"/>
      <c r="EZ196" s="306"/>
      <c r="FA196" s="306"/>
      <c r="FB196" s="306"/>
      <c r="FC196" s="306"/>
      <c r="FD196" s="306"/>
      <c r="FE196" s="306"/>
      <c r="FF196" s="306"/>
      <c r="FG196" s="306"/>
      <c r="FH196" s="306"/>
      <c r="FI196" s="306"/>
      <c r="FJ196" s="306"/>
      <c r="FK196" s="306"/>
      <c r="FL196" s="306"/>
      <c r="FM196" s="306"/>
      <c r="FN196" s="306"/>
      <c r="FO196" s="306"/>
      <c r="FP196" s="306"/>
      <c r="FQ196" s="306"/>
      <c r="FR196" s="306"/>
      <c r="FS196" s="306"/>
      <c r="FT196" s="306"/>
      <c r="FU196" s="306"/>
      <c r="FV196" s="306"/>
      <c r="FW196" s="306"/>
      <c r="FX196" s="306"/>
      <c r="FY196" s="306"/>
      <c r="FZ196" s="306"/>
      <c r="GA196" s="306"/>
      <c r="GB196" s="306"/>
      <c r="GC196" s="306"/>
      <c r="GD196" s="306"/>
      <c r="GE196" s="306"/>
      <c r="GF196" s="306"/>
      <c r="GG196" s="306"/>
      <c r="GH196" s="306"/>
      <c r="GI196" s="306"/>
      <c r="GJ196" s="306"/>
      <c r="GK196" s="306"/>
      <c r="GL196" s="306"/>
      <c r="GM196" s="306"/>
      <c r="GN196" s="306"/>
      <c r="GO196" s="306"/>
      <c r="GP196" s="306"/>
      <c r="GQ196" s="306"/>
      <c r="GR196" s="306"/>
      <c r="GS196" s="306"/>
      <c r="GT196" s="306"/>
      <c r="GU196" s="306"/>
      <c r="GV196" s="306"/>
      <c r="GW196" s="306"/>
      <c r="GX196" s="306"/>
      <c r="GY196" s="306"/>
      <c r="GZ196" s="306"/>
      <c r="HA196" s="306"/>
      <c r="HB196" s="306"/>
      <c r="HC196" s="306"/>
      <c r="HD196" s="306"/>
      <c r="HE196" s="306"/>
      <c r="HF196" s="306"/>
      <c r="HG196" s="306"/>
      <c r="HH196" s="306"/>
      <c r="HI196" s="306"/>
      <c r="HJ196" s="306"/>
      <c r="HK196" s="306"/>
      <c r="HL196" s="306"/>
      <c r="HM196" s="306"/>
      <c r="HN196" s="306"/>
      <c r="HO196" s="306"/>
      <c r="HP196" s="306"/>
      <c r="HQ196" s="306"/>
      <c r="HR196" s="306"/>
      <c r="HS196" s="306"/>
      <c r="HT196" s="306"/>
      <c r="HU196" s="306"/>
      <c r="HV196" s="306"/>
      <c r="HW196" s="306"/>
      <c r="HX196" s="306"/>
      <c r="HY196" s="306"/>
      <c r="HZ196" s="306"/>
      <c r="IA196" s="306"/>
      <c r="IB196" s="306"/>
      <c r="IC196" s="306"/>
      <c r="ID196" s="306"/>
      <c r="IE196" s="306"/>
    </row>
    <row r="197" spans="1:239" ht="25.5">
      <c r="A197" s="307">
        <v>4</v>
      </c>
      <c r="B197" s="357">
        <v>43074</v>
      </c>
      <c r="C197" s="307" t="s">
        <v>517</v>
      </c>
      <c r="D197" s="307" t="s">
        <v>690</v>
      </c>
      <c r="E197" s="307">
        <v>6</v>
      </c>
      <c r="F197" s="355" t="s">
        <v>711</v>
      </c>
      <c r="G197" s="307" t="s">
        <v>522</v>
      </c>
      <c r="H197" s="307">
        <v>4.18</v>
      </c>
      <c r="I197" s="307">
        <v>6</v>
      </c>
      <c r="J197" s="307">
        <v>99</v>
      </c>
      <c r="K197" s="307">
        <v>1</v>
      </c>
      <c r="L197" s="347"/>
      <c r="M197" s="346">
        <f t="shared" si="10"/>
        <v>25.08</v>
      </c>
      <c r="N197" s="346">
        <f t="shared" si="11"/>
        <v>413.82</v>
      </c>
      <c r="O197" s="34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306"/>
      <c r="AQ197" s="306"/>
      <c r="AR197" s="306"/>
      <c r="AS197" s="306"/>
      <c r="AT197" s="306"/>
      <c r="AU197" s="306"/>
      <c r="AV197" s="306"/>
      <c r="AW197" s="306"/>
      <c r="AX197" s="306"/>
      <c r="AY197" s="306"/>
      <c r="AZ197" s="306"/>
      <c r="BA197" s="306"/>
      <c r="BB197" s="306"/>
      <c r="BC197" s="306"/>
      <c r="BD197" s="306"/>
      <c r="BE197" s="306"/>
      <c r="BF197" s="306"/>
      <c r="BG197" s="306"/>
      <c r="BH197" s="306"/>
      <c r="BI197" s="306"/>
      <c r="BJ197" s="306"/>
      <c r="BK197" s="306"/>
      <c r="BL197" s="306"/>
      <c r="BM197" s="306"/>
      <c r="BN197" s="306"/>
      <c r="BO197" s="306"/>
      <c r="BP197" s="306"/>
      <c r="BQ197" s="306"/>
      <c r="BR197" s="306"/>
      <c r="BS197" s="306"/>
      <c r="BT197" s="306"/>
      <c r="BU197" s="306"/>
      <c r="BV197" s="306"/>
      <c r="BW197" s="306"/>
      <c r="BX197" s="306"/>
      <c r="BY197" s="306"/>
      <c r="BZ197" s="306"/>
      <c r="CA197" s="306"/>
      <c r="CB197" s="306"/>
      <c r="CC197" s="306"/>
      <c r="CD197" s="306"/>
      <c r="CE197" s="306"/>
      <c r="CF197" s="306"/>
      <c r="CG197" s="306"/>
      <c r="CH197" s="306"/>
      <c r="CI197" s="306"/>
      <c r="CJ197" s="306"/>
      <c r="CK197" s="306"/>
      <c r="CL197" s="306"/>
      <c r="CM197" s="306"/>
      <c r="CN197" s="306"/>
      <c r="CO197" s="306"/>
      <c r="CP197" s="306"/>
      <c r="CQ197" s="306"/>
      <c r="CR197" s="306"/>
      <c r="CS197" s="306"/>
      <c r="CT197" s="306"/>
      <c r="CU197" s="306"/>
      <c r="CV197" s="306"/>
      <c r="CW197" s="306"/>
      <c r="CX197" s="306"/>
      <c r="CY197" s="306"/>
      <c r="CZ197" s="306"/>
      <c r="DA197" s="306"/>
      <c r="DB197" s="306"/>
      <c r="DC197" s="306"/>
      <c r="DD197" s="306"/>
      <c r="DE197" s="306"/>
      <c r="DF197" s="306"/>
      <c r="DG197" s="306"/>
      <c r="DH197" s="306"/>
      <c r="DI197" s="306"/>
      <c r="DJ197" s="306"/>
      <c r="DK197" s="306"/>
      <c r="DL197" s="306"/>
      <c r="DM197" s="306"/>
      <c r="DN197" s="306"/>
      <c r="DO197" s="306"/>
      <c r="DP197" s="306"/>
      <c r="DQ197" s="306"/>
      <c r="DR197" s="306"/>
      <c r="DS197" s="306"/>
      <c r="DT197" s="306"/>
      <c r="DU197" s="306"/>
      <c r="DV197" s="306"/>
      <c r="DW197" s="306"/>
      <c r="DX197" s="306"/>
      <c r="DY197" s="306"/>
      <c r="DZ197" s="306"/>
      <c r="EA197" s="306"/>
      <c r="EB197" s="306"/>
      <c r="EC197" s="306"/>
      <c r="ED197" s="306"/>
      <c r="EE197" s="306"/>
      <c r="EF197" s="306"/>
      <c r="EG197" s="306"/>
      <c r="EH197" s="306"/>
      <c r="EI197" s="306"/>
      <c r="EJ197" s="306"/>
      <c r="EK197" s="306"/>
      <c r="EL197" s="306"/>
      <c r="EM197" s="306"/>
      <c r="EN197" s="306"/>
      <c r="EO197" s="306"/>
      <c r="EP197" s="306"/>
      <c r="EQ197" s="306"/>
      <c r="ER197" s="306"/>
      <c r="ES197" s="306"/>
      <c r="ET197" s="306"/>
      <c r="EU197" s="306"/>
      <c r="EV197" s="306"/>
      <c r="EW197" s="306"/>
      <c r="EX197" s="306"/>
      <c r="EY197" s="306"/>
      <c r="EZ197" s="306"/>
      <c r="FA197" s="306"/>
      <c r="FB197" s="306"/>
      <c r="FC197" s="306"/>
      <c r="FD197" s="306"/>
      <c r="FE197" s="306"/>
      <c r="FF197" s="306"/>
      <c r="FG197" s="306"/>
      <c r="FH197" s="306"/>
      <c r="FI197" s="306"/>
      <c r="FJ197" s="306"/>
      <c r="FK197" s="306"/>
      <c r="FL197" s="306"/>
      <c r="FM197" s="306"/>
      <c r="FN197" s="306"/>
      <c r="FO197" s="306"/>
      <c r="FP197" s="306"/>
      <c r="FQ197" s="306"/>
      <c r="FR197" s="306"/>
      <c r="FS197" s="306"/>
      <c r="FT197" s="306"/>
      <c r="FU197" s="306"/>
      <c r="FV197" s="306"/>
      <c r="FW197" s="306"/>
      <c r="FX197" s="306"/>
      <c r="FY197" s="306"/>
      <c r="FZ197" s="306"/>
      <c r="GA197" s="306"/>
      <c r="GB197" s="306"/>
      <c r="GC197" s="306"/>
      <c r="GD197" s="306"/>
      <c r="GE197" s="306"/>
      <c r="GF197" s="306"/>
      <c r="GG197" s="306"/>
      <c r="GH197" s="306"/>
      <c r="GI197" s="306"/>
      <c r="GJ197" s="306"/>
      <c r="GK197" s="306"/>
      <c r="GL197" s="306"/>
      <c r="GM197" s="306"/>
      <c r="GN197" s="306"/>
      <c r="GO197" s="306"/>
      <c r="GP197" s="306"/>
      <c r="GQ197" s="306"/>
      <c r="GR197" s="306"/>
      <c r="GS197" s="306"/>
      <c r="GT197" s="306"/>
      <c r="GU197" s="306"/>
      <c r="GV197" s="306"/>
      <c r="GW197" s="306"/>
      <c r="GX197" s="306"/>
      <c r="GY197" s="306"/>
      <c r="GZ197" s="306"/>
      <c r="HA197" s="306"/>
      <c r="HB197" s="306"/>
      <c r="HC197" s="306"/>
      <c r="HD197" s="306"/>
      <c r="HE197" s="306"/>
      <c r="HF197" s="306"/>
      <c r="HG197" s="306"/>
      <c r="HH197" s="306"/>
      <c r="HI197" s="306"/>
      <c r="HJ197" s="306"/>
      <c r="HK197" s="306"/>
      <c r="HL197" s="306"/>
      <c r="HM197" s="306"/>
      <c r="HN197" s="306"/>
      <c r="HO197" s="306"/>
      <c r="HP197" s="306"/>
      <c r="HQ197" s="306"/>
      <c r="HR197" s="306"/>
      <c r="HS197" s="306"/>
      <c r="HT197" s="306"/>
      <c r="HU197" s="306"/>
      <c r="HV197" s="306"/>
      <c r="HW197" s="306"/>
      <c r="HX197" s="306"/>
      <c r="HY197" s="306"/>
      <c r="HZ197" s="306"/>
      <c r="IA197" s="306"/>
      <c r="IB197" s="306"/>
      <c r="IC197" s="306"/>
      <c r="ID197" s="306"/>
      <c r="IE197" s="306"/>
    </row>
    <row r="198" spans="1:239" ht="25.5">
      <c r="A198" s="307">
        <v>5</v>
      </c>
      <c r="B198" s="357">
        <v>43076</v>
      </c>
      <c r="C198" s="307" t="s">
        <v>517</v>
      </c>
      <c r="D198" s="307" t="s">
        <v>690</v>
      </c>
      <c r="E198" s="307">
        <v>6</v>
      </c>
      <c r="F198" s="355" t="s">
        <v>711</v>
      </c>
      <c r="G198" s="307" t="s">
        <v>522</v>
      </c>
      <c r="H198" s="307">
        <v>4.25</v>
      </c>
      <c r="I198" s="307">
        <v>4</v>
      </c>
      <c r="J198" s="307">
        <v>40</v>
      </c>
      <c r="K198" s="307">
        <v>1</v>
      </c>
      <c r="L198" s="347"/>
      <c r="M198" s="346">
        <f t="shared" si="10"/>
        <v>17</v>
      </c>
      <c r="N198" s="346">
        <f t="shared" si="11"/>
        <v>170</v>
      </c>
      <c r="O198" s="34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6"/>
      <c r="BF198" s="306"/>
      <c r="BG198" s="306"/>
      <c r="BH198" s="306"/>
      <c r="BI198" s="306"/>
      <c r="BJ198" s="306"/>
      <c r="BK198" s="306"/>
      <c r="BL198" s="306"/>
      <c r="BM198" s="306"/>
      <c r="BN198" s="306"/>
      <c r="BO198" s="306"/>
      <c r="BP198" s="306"/>
      <c r="BQ198" s="306"/>
      <c r="BR198" s="306"/>
      <c r="BS198" s="306"/>
      <c r="BT198" s="306"/>
      <c r="BU198" s="306"/>
      <c r="BV198" s="306"/>
      <c r="BW198" s="306"/>
      <c r="BX198" s="306"/>
      <c r="BY198" s="306"/>
      <c r="BZ198" s="306"/>
      <c r="CA198" s="306"/>
      <c r="CB198" s="306"/>
      <c r="CC198" s="306"/>
      <c r="CD198" s="306"/>
      <c r="CE198" s="306"/>
      <c r="CF198" s="306"/>
      <c r="CG198" s="306"/>
      <c r="CH198" s="306"/>
      <c r="CI198" s="306"/>
      <c r="CJ198" s="306"/>
      <c r="CK198" s="306"/>
      <c r="CL198" s="306"/>
      <c r="CM198" s="306"/>
      <c r="CN198" s="306"/>
      <c r="CO198" s="306"/>
      <c r="CP198" s="306"/>
      <c r="CQ198" s="306"/>
      <c r="CR198" s="306"/>
      <c r="CS198" s="306"/>
      <c r="CT198" s="306"/>
      <c r="CU198" s="306"/>
      <c r="CV198" s="306"/>
      <c r="CW198" s="306"/>
      <c r="CX198" s="306"/>
      <c r="CY198" s="306"/>
      <c r="CZ198" s="306"/>
      <c r="DA198" s="306"/>
      <c r="DB198" s="306"/>
      <c r="DC198" s="306"/>
      <c r="DD198" s="306"/>
      <c r="DE198" s="306"/>
      <c r="DF198" s="306"/>
      <c r="DG198" s="306"/>
      <c r="DH198" s="306"/>
      <c r="DI198" s="306"/>
      <c r="DJ198" s="306"/>
      <c r="DK198" s="306"/>
      <c r="DL198" s="306"/>
      <c r="DM198" s="306"/>
      <c r="DN198" s="306"/>
      <c r="DO198" s="306"/>
      <c r="DP198" s="306"/>
      <c r="DQ198" s="306"/>
      <c r="DR198" s="306"/>
      <c r="DS198" s="306"/>
      <c r="DT198" s="306"/>
      <c r="DU198" s="306"/>
      <c r="DV198" s="306"/>
      <c r="DW198" s="306"/>
      <c r="DX198" s="306"/>
      <c r="DY198" s="306"/>
      <c r="DZ198" s="306"/>
      <c r="EA198" s="306"/>
      <c r="EB198" s="306"/>
      <c r="EC198" s="306"/>
      <c r="ED198" s="306"/>
      <c r="EE198" s="306"/>
      <c r="EF198" s="306"/>
      <c r="EG198" s="306"/>
      <c r="EH198" s="306"/>
      <c r="EI198" s="306"/>
      <c r="EJ198" s="306"/>
      <c r="EK198" s="306"/>
      <c r="EL198" s="306"/>
      <c r="EM198" s="306"/>
      <c r="EN198" s="306"/>
      <c r="EO198" s="306"/>
      <c r="EP198" s="306"/>
      <c r="EQ198" s="306"/>
      <c r="ER198" s="306"/>
      <c r="ES198" s="306"/>
      <c r="ET198" s="306"/>
      <c r="EU198" s="306"/>
      <c r="EV198" s="306"/>
      <c r="EW198" s="306"/>
      <c r="EX198" s="306"/>
      <c r="EY198" s="306"/>
      <c r="EZ198" s="306"/>
      <c r="FA198" s="306"/>
      <c r="FB198" s="306"/>
      <c r="FC198" s="306"/>
      <c r="FD198" s="306"/>
      <c r="FE198" s="306"/>
      <c r="FF198" s="306"/>
      <c r="FG198" s="306"/>
      <c r="FH198" s="306"/>
      <c r="FI198" s="306"/>
      <c r="FJ198" s="306"/>
      <c r="FK198" s="306"/>
      <c r="FL198" s="306"/>
      <c r="FM198" s="306"/>
      <c r="FN198" s="306"/>
      <c r="FO198" s="306"/>
      <c r="FP198" s="306"/>
      <c r="FQ198" s="306"/>
      <c r="FR198" s="306"/>
      <c r="FS198" s="306"/>
      <c r="FT198" s="306"/>
      <c r="FU198" s="306"/>
      <c r="FV198" s="306"/>
      <c r="FW198" s="306"/>
      <c r="FX198" s="306"/>
      <c r="FY198" s="306"/>
      <c r="FZ198" s="306"/>
      <c r="GA198" s="306"/>
      <c r="GB198" s="306"/>
      <c r="GC198" s="306"/>
      <c r="GD198" s="306"/>
      <c r="GE198" s="306"/>
      <c r="GF198" s="306"/>
      <c r="GG198" s="306"/>
      <c r="GH198" s="306"/>
      <c r="GI198" s="306"/>
      <c r="GJ198" s="306"/>
      <c r="GK198" s="306"/>
      <c r="GL198" s="306"/>
      <c r="GM198" s="306"/>
      <c r="GN198" s="306"/>
      <c r="GO198" s="306"/>
      <c r="GP198" s="306"/>
      <c r="GQ198" s="306"/>
      <c r="GR198" s="306"/>
      <c r="GS198" s="306"/>
      <c r="GT198" s="306"/>
      <c r="GU198" s="306"/>
      <c r="GV198" s="306"/>
      <c r="GW198" s="306"/>
      <c r="GX198" s="306"/>
      <c r="GY198" s="306"/>
      <c r="GZ198" s="306"/>
      <c r="HA198" s="306"/>
      <c r="HB198" s="306"/>
      <c r="HC198" s="306"/>
      <c r="HD198" s="306"/>
      <c r="HE198" s="306"/>
      <c r="HF198" s="306"/>
      <c r="HG198" s="306"/>
      <c r="HH198" s="306"/>
      <c r="HI198" s="306"/>
      <c r="HJ198" s="306"/>
      <c r="HK198" s="306"/>
      <c r="HL198" s="306"/>
      <c r="HM198" s="306"/>
      <c r="HN198" s="306"/>
      <c r="HO198" s="306"/>
      <c r="HP198" s="306"/>
      <c r="HQ198" s="306"/>
      <c r="HR198" s="306"/>
      <c r="HS198" s="306"/>
      <c r="HT198" s="306"/>
      <c r="HU198" s="306"/>
      <c r="HV198" s="306"/>
      <c r="HW198" s="306"/>
      <c r="HX198" s="306"/>
      <c r="HY198" s="306"/>
      <c r="HZ198" s="306"/>
      <c r="IA198" s="306"/>
      <c r="IB198" s="306"/>
      <c r="IC198" s="306"/>
      <c r="ID198" s="306"/>
      <c r="IE198" s="306"/>
    </row>
    <row r="199" spans="1:239" ht="25.5">
      <c r="A199" s="307">
        <v>6</v>
      </c>
      <c r="B199" s="357">
        <v>43083</v>
      </c>
      <c r="C199" s="307" t="s">
        <v>517</v>
      </c>
      <c r="D199" s="307" t="s">
        <v>691</v>
      </c>
      <c r="E199" s="307">
        <v>6</v>
      </c>
      <c r="F199" s="355" t="s">
        <v>711</v>
      </c>
      <c r="G199" s="307" t="s">
        <v>522</v>
      </c>
      <c r="H199" s="307">
        <v>7.75</v>
      </c>
      <c r="I199" s="307">
        <v>2</v>
      </c>
      <c r="J199" s="307">
        <v>500</v>
      </c>
      <c r="K199" s="307">
        <v>1</v>
      </c>
      <c r="L199" s="347"/>
      <c r="M199" s="346">
        <f t="shared" si="10"/>
        <v>15.5</v>
      </c>
      <c r="N199" s="346">
        <f t="shared" si="11"/>
        <v>3875</v>
      </c>
      <c r="O199" s="34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  <c r="AD199" s="306"/>
      <c r="AE199" s="306"/>
      <c r="AF199" s="306"/>
      <c r="AG199" s="306"/>
      <c r="AH199" s="306"/>
      <c r="AI199" s="306"/>
      <c r="AJ199" s="306"/>
      <c r="AK199" s="306"/>
      <c r="AL199" s="306"/>
      <c r="AM199" s="306"/>
      <c r="AN199" s="306"/>
      <c r="AO199" s="306"/>
      <c r="AP199" s="306"/>
      <c r="AQ199" s="306"/>
      <c r="AR199" s="306"/>
      <c r="AS199" s="306"/>
      <c r="AT199" s="306"/>
      <c r="AU199" s="306"/>
      <c r="AV199" s="306"/>
      <c r="AW199" s="306"/>
      <c r="AX199" s="306"/>
      <c r="AY199" s="306"/>
      <c r="AZ199" s="306"/>
      <c r="BA199" s="306"/>
      <c r="BB199" s="306"/>
      <c r="BC199" s="306"/>
      <c r="BD199" s="306"/>
      <c r="BE199" s="306"/>
      <c r="BF199" s="306"/>
      <c r="BG199" s="306"/>
      <c r="BH199" s="306"/>
      <c r="BI199" s="306"/>
      <c r="BJ199" s="306"/>
      <c r="BK199" s="306"/>
      <c r="BL199" s="306"/>
      <c r="BM199" s="306"/>
      <c r="BN199" s="306"/>
      <c r="BO199" s="306"/>
      <c r="BP199" s="306"/>
      <c r="BQ199" s="306"/>
      <c r="BR199" s="306"/>
      <c r="BS199" s="306"/>
      <c r="BT199" s="306"/>
      <c r="BU199" s="306"/>
      <c r="BV199" s="306"/>
      <c r="BW199" s="306"/>
      <c r="BX199" s="306"/>
      <c r="BY199" s="306"/>
      <c r="BZ199" s="306"/>
      <c r="CA199" s="306"/>
      <c r="CB199" s="306"/>
      <c r="CC199" s="306"/>
      <c r="CD199" s="306"/>
      <c r="CE199" s="306"/>
      <c r="CF199" s="306"/>
      <c r="CG199" s="306"/>
      <c r="CH199" s="306"/>
      <c r="CI199" s="306"/>
      <c r="CJ199" s="306"/>
      <c r="CK199" s="306"/>
      <c r="CL199" s="306"/>
      <c r="CM199" s="306"/>
      <c r="CN199" s="306"/>
      <c r="CO199" s="306"/>
      <c r="CP199" s="306"/>
      <c r="CQ199" s="306"/>
      <c r="CR199" s="306"/>
      <c r="CS199" s="306"/>
      <c r="CT199" s="306"/>
      <c r="CU199" s="306"/>
      <c r="CV199" s="306"/>
      <c r="CW199" s="306"/>
      <c r="CX199" s="306"/>
      <c r="CY199" s="306"/>
      <c r="CZ199" s="306"/>
      <c r="DA199" s="306"/>
      <c r="DB199" s="306"/>
      <c r="DC199" s="306"/>
      <c r="DD199" s="306"/>
      <c r="DE199" s="306"/>
      <c r="DF199" s="306"/>
      <c r="DG199" s="306"/>
      <c r="DH199" s="306"/>
      <c r="DI199" s="306"/>
      <c r="DJ199" s="306"/>
      <c r="DK199" s="306"/>
      <c r="DL199" s="306"/>
      <c r="DM199" s="306"/>
      <c r="DN199" s="306"/>
      <c r="DO199" s="306"/>
      <c r="DP199" s="306"/>
      <c r="DQ199" s="306"/>
      <c r="DR199" s="306"/>
      <c r="DS199" s="306"/>
      <c r="DT199" s="306"/>
      <c r="DU199" s="306"/>
      <c r="DV199" s="306"/>
      <c r="DW199" s="306"/>
      <c r="DX199" s="306"/>
      <c r="DY199" s="306"/>
      <c r="DZ199" s="306"/>
      <c r="EA199" s="306"/>
      <c r="EB199" s="306"/>
      <c r="EC199" s="306"/>
      <c r="ED199" s="306"/>
      <c r="EE199" s="306"/>
      <c r="EF199" s="306"/>
      <c r="EG199" s="306"/>
      <c r="EH199" s="306"/>
      <c r="EI199" s="306"/>
      <c r="EJ199" s="306"/>
      <c r="EK199" s="306"/>
      <c r="EL199" s="306"/>
      <c r="EM199" s="306"/>
      <c r="EN199" s="306"/>
      <c r="EO199" s="306"/>
      <c r="EP199" s="306"/>
      <c r="EQ199" s="306"/>
      <c r="ER199" s="306"/>
      <c r="ES199" s="306"/>
      <c r="ET199" s="306"/>
      <c r="EU199" s="306"/>
      <c r="EV199" s="306"/>
      <c r="EW199" s="306"/>
      <c r="EX199" s="306"/>
      <c r="EY199" s="306"/>
      <c r="EZ199" s="306"/>
      <c r="FA199" s="306"/>
      <c r="FB199" s="306"/>
      <c r="FC199" s="306"/>
      <c r="FD199" s="306"/>
      <c r="FE199" s="306"/>
      <c r="FF199" s="306"/>
      <c r="FG199" s="306"/>
      <c r="FH199" s="306"/>
      <c r="FI199" s="306"/>
      <c r="FJ199" s="306"/>
      <c r="FK199" s="306"/>
      <c r="FL199" s="306"/>
      <c r="FM199" s="306"/>
      <c r="FN199" s="306"/>
      <c r="FO199" s="306"/>
      <c r="FP199" s="306"/>
      <c r="FQ199" s="306"/>
      <c r="FR199" s="306"/>
      <c r="FS199" s="306"/>
      <c r="FT199" s="306"/>
      <c r="FU199" s="306"/>
      <c r="FV199" s="306"/>
      <c r="FW199" s="306"/>
      <c r="FX199" s="306"/>
      <c r="FY199" s="306"/>
      <c r="FZ199" s="306"/>
      <c r="GA199" s="306"/>
      <c r="GB199" s="306"/>
      <c r="GC199" s="306"/>
      <c r="GD199" s="306"/>
      <c r="GE199" s="306"/>
      <c r="GF199" s="306"/>
      <c r="GG199" s="306"/>
      <c r="GH199" s="306"/>
      <c r="GI199" s="306"/>
      <c r="GJ199" s="306"/>
      <c r="GK199" s="306"/>
      <c r="GL199" s="306"/>
      <c r="GM199" s="306"/>
      <c r="GN199" s="306"/>
      <c r="GO199" s="306"/>
      <c r="GP199" s="306"/>
      <c r="GQ199" s="306"/>
      <c r="GR199" s="306"/>
      <c r="GS199" s="306"/>
      <c r="GT199" s="306"/>
      <c r="GU199" s="306"/>
      <c r="GV199" s="306"/>
      <c r="GW199" s="306"/>
      <c r="GX199" s="306"/>
      <c r="GY199" s="306"/>
      <c r="GZ199" s="306"/>
      <c r="HA199" s="306"/>
      <c r="HB199" s="306"/>
      <c r="HC199" s="306"/>
      <c r="HD199" s="306"/>
      <c r="HE199" s="306"/>
      <c r="HF199" s="306"/>
      <c r="HG199" s="306"/>
      <c r="HH199" s="306"/>
      <c r="HI199" s="306"/>
      <c r="HJ199" s="306"/>
      <c r="HK199" s="306"/>
      <c r="HL199" s="306"/>
      <c r="HM199" s="306"/>
      <c r="HN199" s="306"/>
      <c r="HO199" s="306"/>
      <c r="HP199" s="306"/>
      <c r="HQ199" s="306"/>
      <c r="HR199" s="306"/>
      <c r="HS199" s="306"/>
      <c r="HT199" s="306"/>
      <c r="HU199" s="306"/>
      <c r="HV199" s="306"/>
      <c r="HW199" s="306"/>
      <c r="HX199" s="306"/>
      <c r="HY199" s="306"/>
      <c r="HZ199" s="306"/>
      <c r="IA199" s="306"/>
      <c r="IB199" s="306"/>
      <c r="IC199" s="306"/>
      <c r="ID199" s="306"/>
      <c r="IE199" s="306"/>
    </row>
    <row r="200" spans="1:239" ht="25.5">
      <c r="A200" s="307">
        <v>7</v>
      </c>
      <c r="B200" s="357">
        <v>43083</v>
      </c>
      <c r="C200" s="307" t="s">
        <v>517</v>
      </c>
      <c r="D200" s="307" t="s">
        <v>692</v>
      </c>
      <c r="E200" s="307">
        <v>6</v>
      </c>
      <c r="F200" s="355" t="s">
        <v>711</v>
      </c>
      <c r="G200" s="307" t="s">
        <v>522</v>
      </c>
      <c r="H200" s="307">
        <v>6.83</v>
      </c>
      <c r="I200" s="307">
        <v>4</v>
      </c>
      <c r="J200" s="307">
        <v>100</v>
      </c>
      <c r="K200" s="307">
        <v>1</v>
      </c>
      <c r="L200" s="347"/>
      <c r="M200" s="346">
        <f t="shared" si="10"/>
        <v>27.32</v>
      </c>
      <c r="N200" s="346">
        <f t="shared" si="11"/>
        <v>683</v>
      </c>
      <c r="O200" s="34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6"/>
      <c r="BE200" s="306"/>
      <c r="BF200" s="306"/>
      <c r="BG200" s="306"/>
      <c r="BH200" s="306"/>
      <c r="BI200" s="306"/>
      <c r="BJ200" s="306"/>
      <c r="BK200" s="306"/>
      <c r="BL200" s="306"/>
      <c r="BM200" s="306"/>
      <c r="BN200" s="306"/>
      <c r="BO200" s="306"/>
      <c r="BP200" s="306"/>
      <c r="BQ200" s="306"/>
      <c r="BR200" s="306"/>
      <c r="BS200" s="306"/>
      <c r="BT200" s="306"/>
      <c r="BU200" s="306"/>
      <c r="BV200" s="306"/>
      <c r="BW200" s="306"/>
      <c r="BX200" s="306"/>
      <c r="BY200" s="306"/>
      <c r="BZ200" s="306"/>
      <c r="CA200" s="306"/>
      <c r="CB200" s="306"/>
      <c r="CC200" s="306"/>
      <c r="CD200" s="306"/>
      <c r="CE200" s="306"/>
      <c r="CF200" s="306"/>
      <c r="CG200" s="306"/>
      <c r="CH200" s="306"/>
      <c r="CI200" s="306"/>
      <c r="CJ200" s="306"/>
      <c r="CK200" s="306"/>
      <c r="CL200" s="306"/>
      <c r="CM200" s="306"/>
      <c r="CN200" s="306"/>
      <c r="CO200" s="306"/>
      <c r="CP200" s="306"/>
      <c r="CQ200" s="306"/>
      <c r="CR200" s="306"/>
      <c r="CS200" s="306"/>
      <c r="CT200" s="306"/>
      <c r="CU200" s="306"/>
      <c r="CV200" s="306"/>
      <c r="CW200" s="306"/>
      <c r="CX200" s="306"/>
      <c r="CY200" s="306"/>
      <c r="CZ200" s="306"/>
      <c r="DA200" s="306"/>
      <c r="DB200" s="306"/>
      <c r="DC200" s="306"/>
      <c r="DD200" s="306"/>
      <c r="DE200" s="306"/>
      <c r="DF200" s="306"/>
      <c r="DG200" s="306"/>
      <c r="DH200" s="306"/>
      <c r="DI200" s="306"/>
      <c r="DJ200" s="306"/>
      <c r="DK200" s="306"/>
      <c r="DL200" s="306"/>
      <c r="DM200" s="306"/>
      <c r="DN200" s="306"/>
      <c r="DO200" s="306"/>
      <c r="DP200" s="306"/>
      <c r="DQ200" s="306"/>
      <c r="DR200" s="306"/>
      <c r="DS200" s="306"/>
      <c r="DT200" s="306"/>
      <c r="DU200" s="306"/>
      <c r="DV200" s="306"/>
      <c r="DW200" s="306"/>
      <c r="DX200" s="306"/>
      <c r="DY200" s="306"/>
      <c r="DZ200" s="306"/>
      <c r="EA200" s="306"/>
      <c r="EB200" s="306"/>
      <c r="EC200" s="306"/>
      <c r="ED200" s="306"/>
      <c r="EE200" s="306"/>
      <c r="EF200" s="306"/>
      <c r="EG200" s="306"/>
      <c r="EH200" s="306"/>
      <c r="EI200" s="306"/>
      <c r="EJ200" s="306"/>
      <c r="EK200" s="306"/>
      <c r="EL200" s="306"/>
      <c r="EM200" s="306"/>
      <c r="EN200" s="306"/>
      <c r="EO200" s="306"/>
      <c r="EP200" s="306"/>
      <c r="EQ200" s="306"/>
      <c r="ER200" s="306"/>
      <c r="ES200" s="306"/>
      <c r="ET200" s="306"/>
      <c r="EU200" s="306"/>
      <c r="EV200" s="306"/>
      <c r="EW200" s="306"/>
      <c r="EX200" s="306"/>
      <c r="EY200" s="306"/>
      <c r="EZ200" s="306"/>
      <c r="FA200" s="306"/>
      <c r="FB200" s="306"/>
      <c r="FC200" s="306"/>
      <c r="FD200" s="306"/>
      <c r="FE200" s="306"/>
      <c r="FF200" s="306"/>
      <c r="FG200" s="306"/>
      <c r="FH200" s="306"/>
      <c r="FI200" s="306"/>
      <c r="FJ200" s="306"/>
      <c r="FK200" s="306"/>
      <c r="FL200" s="306"/>
      <c r="FM200" s="306"/>
      <c r="FN200" s="306"/>
      <c r="FO200" s="306"/>
      <c r="FP200" s="306"/>
      <c r="FQ200" s="306"/>
      <c r="FR200" s="306"/>
      <c r="FS200" s="306"/>
      <c r="FT200" s="306"/>
      <c r="FU200" s="306"/>
      <c r="FV200" s="306"/>
      <c r="FW200" s="306"/>
      <c r="FX200" s="306"/>
      <c r="FY200" s="306"/>
      <c r="FZ200" s="306"/>
      <c r="GA200" s="306"/>
      <c r="GB200" s="306"/>
      <c r="GC200" s="306"/>
      <c r="GD200" s="306"/>
      <c r="GE200" s="306"/>
      <c r="GF200" s="306"/>
      <c r="GG200" s="306"/>
      <c r="GH200" s="306"/>
      <c r="GI200" s="306"/>
      <c r="GJ200" s="306"/>
      <c r="GK200" s="306"/>
      <c r="GL200" s="306"/>
      <c r="GM200" s="306"/>
      <c r="GN200" s="306"/>
      <c r="GO200" s="306"/>
      <c r="GP200" s="306"/>
      <c r="GQ200" s="306"/>
      <c r="GR200" s="306"/>
      <c r="GS200" s="306"/>
      <c r="GT200" s="306"/>
      <c r="GU200" s="306"/>
      <c r="GV200" s="306"/>
      <c r="GW200" s="306"/>
      <c r="GX200" s="306"/>
      <c r="GY200" s="306"/>
      <c r="GZ200" s="306"/>
      <c r="HA200" s="306"/>
      <c r="HB200" s="306"/>
      <c r="HC200" s="306"/>
      <c r="HD200" s="306"/>
      <c r="HE200" s="306"/>
      <c r="HF200" s="306"/>
      <c r="HG200" s="306"/>
      <c r="HH200" s="306"/>
      <c r="HI200" s="306"/>
      <c r="HJ200" s="306"/>
      <c r="HK200" s="306"/>
      <c r="HL200" s="306"/>
      <c r="HM200" s="306"/>
      <c r="HN200" s="306"/>
      <c r="HO200" s="306"/>
      <c r="HP200" s="306"/>
      <c r="HQ200" s="306"/>
      <c r="HR200" s="306"/>
      <c r="HS200" s="306"/>
      <c r="HT200" s="306"/>
      <c r="HU200" s="306"/>
      <c r="HV200" s="306"/>
      <c r="HW200" s="306"/>
      <c r="HX200" s="306"/>
      <c r="HY200" s="306"/>
      <c r="HZ200" s="306"/>
      <c r="IA200" s="306"/>
      <c r="IB200" s="306"/>
      <c r="IC200" s="306"/>
      <c r="ID200" s="306"/>
      <c r="IE200" s="306"/>
    </row>
    <row r="201" spans="1:239" ht="25.5">
      <c r="A201" s="307">
        <v>8</v>
      </c>
      <c r="B201" s="357">
        <v>43088</v>
      </c>
      <c r="C201" s="307" t="s">
        <v>517</v>
      </c>
      <c r="D201" s="307" t="s">
        <v>534</v>
      </c>
      <c r="E201" s="307">
        <v>6</v>
      </c>
      <c r="F201" s="355" t="s">
        <v>711</v>
      </c>
      <c r="G201" s="307" t="s">
        <v>522</v>
      </c>
      <c r="H201" s="307">
        <v>5.33</v>
      </c>
      <c r="I201" s="307">
        <v>7</v>
      </c>
      <c r="J201" s="307">
        <v>280</v>
      </c>
      <c r="K201" s="307">
        <v>1</v>
      </c>
      <c r="L201" s="347"/>
      <c r="M201" s="346">
        <f aca="true" t="shared" si="12" ref="M201:M206">H201*I201</f>
        <v>37.31</v>
      </c>
      <c r="N201" s="346">
        <f aca="true" t="shared" si="13" ref="N201:N206">H201*J201</f>
        <v>1492.4</v>
      </c>
      <c r="O201" s="34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6"/>
      <c r="AS201" s="306"/>
      <c r="AT201" s="306"/>
      <c r="AU201" s="306"/>
      <c r="AV201" s="306"/>
      <c r="AW201" s="306"/>
      <c r="AX201" s="306"/>
      <c r="AY201" s="306"/>
      <c r="AZ201" s="306"/>
      <c r="BA201" s="306"/>
      <c r="BB201" s="306"/>
      <c r="BC201" s="306"/>
      <c r="BD201" s="306"/>
      <c r="BE201" s="306"/>
      <c r="BF201" s="306"/>
      <c r="BG201" s="306"/>
      <c r="BH201" s="306"/>
      <c r="BI201" s="306"/>
      <c r="BJ201" s="306"/>
      <c r="BK201" s="306"/>
      <c r="BL201" s="306"/>
      <c r="BM201" s="306"/>
      <c r="BN201" s="306"/>
      <c r="BO201" s="306"/>
      <c r="BP201" s="306"/>
      <c r="BQ201" s="306"/>
      <c r="BR201" s="306"/>
      <c r="BS201" s="306"/>
      <c r="BT201" s="306"/>
      <c r="BU201" s="306"/>
      <c r="BV201" s="306"/>
      <c r="BW201" s="306"/>
      <c r="BX201" s="306"/>
      <c r="BY201" s="306"/>
      <c r="BZ201" s="306"/>
      <c r="CA201" s="306"/>
      <c r="CB201" s="306"/>
      <c r="CC201" s="306"/>
      <c r="CD201" s="306"/>
      <c r="CE201" s="306"/>
      <c r="CF201" s="306"/>
      <c r="CG201" s="306"/>
      <c r="CH201" s="306"/>
      <c r="CI201" s="306"/>
      <c r="CJ201" s="306"/>
      <c r="CK201" s="306"/>
      <c r="CL201" s="306"/>
      <c r="CM201" s="306"/>
      <c r="CN201" s="306"/>
      <c r="CO201" s="306"/>
      <c r="CP201" s="306"/>
      <c r="CQ201" s="306"/>
      <c r="CR201" s="306"/>
      <c r="CS201" s="306"/>
      <c r="CT201" s="306"/>
      <c r="CU201" s="306"/>
      <c r="CV201" s="306"/>
      <c r="CW201" s="306"/>
      <c r="CX201" s="306"/>
      <c r="CY201" s="306"/>
      <c r="CZ201" s="306"/>
      <c r="DA201" s="306"/>
      <c r="DB201" s="306"/>
      <c r="DC201" s="306"/>
      <c r="DD201" s="306"/>
      <c r="DE201" s="306"/>
      <c r="DF201" s="306"/>
      <c r="DG201" s="306"/>
      <c r="DH201" s="306"/>
      <c r="DI201" s="306"/>
      <c r="DJ201" s="306"/>
      <c r="DK201" s="306"/>
      <c r="DL201" s="306"/>
      <c r="DM201" s="306"/>
      <c r="DN201" s="306"/>
      <c r="DO201" s="306"/>
      <c r="DP201" s="306"/>
      <c r="DQ201" s="306"/>
      <c r="DR201" s="306"/>
      <c r="DS201" s="306"/>
      <c r="DT201" s="306"/>
      <c r="DU201" s="306"/>
      <c r="DV201" s="306"/>
      <c r="DW201" s="306"/>
      <c r="DX201" s="306"/>
      <c r="DY201" s="306"/>
      <c r="DZ201" s="306"/>
      <c r="EA201" s="306"/>
      <c r="EB201" s="306"/>
      <c r="EC201" s="306"/>
      <c r="ED201" s="306"/>
      <c r="EE201" s="306"/>
      <c r="EF201" s="306"/>
      <c r="EG201" s="306"/>
      <c r="EH201" s="306"/>
      <c r="EI201" s="306"/>
      <c r="EJ201" s="306"/>
      <c r="EK201" s="306"/>
      <c r="EL201" s="306"/>
      <c r="EM201" s="306"/>
      <c r="EN201" s="306"/>
      <c r="EO201" s="306"/>
      <c r="EP201" s="306"/>
      <c r="EQ201" s="306"/>
      <c r="ER201" s="306"/>
      <c r="ES201" s="306"/>
      <c r="ET201" s="306"/>
      <c r="EU201" s="306"/>
      <c r="EV201" s="306"/>
      <c r="EW201" s="306"/>
      <c r="EX201" s="306"/>
      <c r="EY201" s="306"/>
      <c r="EZ201" s="306"/>
      <c r="FA201" s="306"/>
      <c r="FB201" s="306"/>
      <c r="FC201" s="306"/>
      <c r="FD201" s="306"/>
      <c r="FE201" s="306"/>
      <c r="FF201" s="306"/>
      <c r="FG201" s="306"/>
      <c r="FH201" s="306"/>
      <c r="FI201" s="306"/>
      <c r="FJ201" s="306"/>
      <c r="FK201" s="306"/>
      <c r="FL201" s="306"/>
      <c r="FM201" s="306"/>
      <c r="FN201" s="306"/>
      <c r="FO201" s="306"/>
      <c r="FP201" s="306"/>
      <c r="FQ201" s="306"/>
      <c r="FR201" s="306"/>
      <c r="FS201" s="306"/>
      <c r="FT201" s="306"/>
      <c r="FU201" s="306"/>
      <c r="FV201" s="306"/>
      <c r="FW201" s="306"/>
      <c r="FX201" s="306"/>
      <c r="FY201" s="306"/>
      <c r="FZ201" s="306"/>
      <c r="GA201" s="306"/>
      <c r="GB201" s="306"/>
      <c r="GC201" s="306"/>
      <c r="GD201" s="306"/>
      <c r="GE201" s="306"/>
      <c r="GF201" s="306"/>
      <c r="GG201" s="306"/>
      <c r="GH201" s="306"/>
      <c r="GI201" s="306"/>
      <c r="GJ201" s="306"/>
      <c r="GK201" s="306"/>
      <c r="GL201" s="306"/>
      <c r="GM201" s="306"/>
      <c r="GN201" s="306"/>
      <c r="GO201" s="306"/>
      <c r="GP201" s="306"/>
      <c r="GQ201" s="306"/>
      <c r="GR201" s="306"/>
      <c r="GS201" s="306"/>
      <c r="GT201" s="306"/>
      <c r="GU201" s="306"/>
      <c r="GV201" s="306"/>
      <c r="GW201" s="306"/>
      <c r="GX201" s="306"/>
      <c r="GY201" s="306"/>
      <c r="GZ201" s="306"/>
      <c r="HA201" s="306"/>
      <c r="HB201" s="306"/>
      <c r="HC201" s="306"/>
      <c r="HD201" s="306"/>
      <c r="HE201" s="306"/>
      <c r="HF201" s="306"/>
      <c r="HG201" s="306"/>
      <c r="HH201" s="306"/>
      <c r="HI201" s="306"/>
      <c r="HJ201" s="306"/>
      <c r="HK201" s="306"/>
      <c r="HL201" s="306"/>
      <c r="HM201" s="306"/>
      <c r="HN201" s="306"/>
      <c r="HO201" s="306"/>
      <c r="HP201" s="306"/>
      <c r="HQ201" s="306"/>
      <c r="HR201" s="306"/>
      <c r="HS201" s="306"/>
      <c r="HT201" s="306"/>
      <c r="HU201" s="306"/>
      <c r="HV201" s="306"/>
      <c r="HW201" s="306"/>
      <c r="HX201" s="306"/>
      <c r="HY201" s="306"/>
      <c r="HZ201" s="306"/>
      <c r="IA201" s="306"/>
      <c r="IB201" s="306"/>
      <c r="IC201" s="306"/>
      <c r="ID201" s="306"/>
      <c r="IE201" s="306"/>
    </row>
    <row r="202" spans="1:239" ht="25.5">
      <c r="A202" s="307">
        <v>9</v>
      </c>
      <c r="B202" s="357">
        <v>43089</v>
      </c>
      <c r="C202" s="307" t="s">
        <v>517</v>
      </c>
      <c r="D202" s="307" t="s">
        <v>534</v>
      </c>
      <c r="E202" s="307">
        <v>6</v>
      </c>
      <c r="F202" s="355" t="s">
        <v>711</v>
      </c>
      <c r="G202" s="307" t="s">
        <v>522</v>
      </c>
      <c r="H202" s="307">
        <v>6.58</v>
      </c>
      <c r="I202" s="307">
        <v>7</v>
      </c>
      <c r="J202" s="307">
        <v>300</v>
      </c>
      <c r="K202" s="307">
        <v>1</v>
      </c>
      <c r="L202" s="347"/>
      <c r="M202" s="346">
        <f t="shared" si="12"/>
        <v>46.06</v>
      </c>
      <c r="N202" s="346">
        <f t="shared" si="13"/>
        <v>1974</v>
      </c>
      <c r="O202" s="34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6"/>
      <c r="AT202" s="306"/>
      <c r="AU202" s="306"/>
      <c r="AV202" s="306"/>
      <c r="AW202" s="306"/>
      <c r="AX202" s="306"/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6"/>
      <c r="BJ202" s="306"/>
      <c r="BK202" s="306"/>
      <c r="BL202" s="306"/>
      <c r="BM202" s="306"/>
      <c r="BN202" s="306"/>
      <c r="BO202" s="306"/>
      <c r="BP202" s="306"/>
      <c r="BQ202" s="306"/>
      <c r="BR202" s="306"/>
      <c r="BS202" s="306"/>
      <c r="BT202" s="306"/>
      <c r="BU202" s="306"/>
      <c r="BV202" s="306"/>
      <c r="BW202" s="306"/>
      <c r="BX202" s="306"/>
      <c r="BY202" s="306"/>
      <c r="BZ202" s="306"/>
      <c r="CA202" s="306"/>
      <c r="CB202" s="306"/>
      <c r="CC202" s="306"/>
      <c r="CD202" s="306"/>
      <c r="CE202" s="306"/>
      <c r="CF202" s="306"/>
      <c r="CG202" s="306"/>
      <c r="CH202" s="306"/>
      <c r="CI202" s="306"/>
      <c r="CJ202" s="306"/>
      <c r="CK202" s="306"/>
      <c r="CL202" s="306"/>
      <c r="CM202" s="306"/>
      <c r="CN202" s="306"/>
      <c r="CO202" s="306"/>
      <c r="CP202" s="306"/>
      <c r="CQ202" s="306"/>
      <c r="CR202" s="306"/>
      <c r="CS202" s="306"/>
      <c r="CT202" s="306"/>
      <c r="CU202" s="306"/>
      <c r="CV202" s="306"/>
      <c r="CW202" s="306"/>
      <c r="CX202" s="306"/>
      <c r="CY202" s="306"/>
      <c r="CZ202" s="306"/>
      <c r="DA202" s="306"/>
      <c r="DB202" s="306"/>
      <c r="DC202" s="306"/>
      <c r="DD202" s="306"/>
      <c r="DE202" s="306"/>
      <c r="DF202" s="306"/>
      <c r="DG202" s="306"/>
      <c r="DH202" s="306"/>
      <c r="DI202" s="306"/>
      <c r="DJ202" s="306"/>
      <c r="DK202" s="306"/>
      <c r="DL202" s="306"/>
      <c r="DM202" s="306"/>
      <c r="DN202" s="306"/>
      <c r="DO202" s="306"/>
      <c r="DP202" s="306"/>
      <c r="DQ202" s="306"/>
      <c r="DR202" s="306"/>
      <c r="DS202" s="306"/>
      <c r="DT202" s="306"/>
      <c r="DU202" s="306"/>
      <c r="DV202" s="306"/>
      <c r="DW202" s="306"/>
      <c r="DX202" s="306"/>
      <c r="DY202" s="306"/>
      <c r="DZ202" s="306"/>
      <c r="EA202" s="306"/>
      <c r="EB202" s="306"/>
      <c r="EC202" s="306"/>
      <c r="ED202" s="306"/>
      <c r="EE202" s="306"/>
      <c r="EF202" s="306"/>
      <c r="EG202" s="306"/>
      <c r="EH202" s="306"/>
      <c r="EI202" s="306"/>
      <c r="EJ202" s="306"/>
      <c r="EK202" s="306"/>
      <c r="EL202" s="306"/>
      <c r="EM202" s="306"/>
      <c r="EN202" s="306"/>
      <c r="EO202" s="306"/>
      <c r="EP202" s="306"/>
      <c r="EQ202" s="306"/>
      <c r="ER202" s="306"/>
      <c r="ES202" s="306"/>
      <c r="ET202" s="306"/>
      <c r="EU202" s="306"/>
      <c r="EV202" s="306"/>
      <c r="EW202" s="306"/>
      <c r="EX202" s="306"/>
      <c r="EY202" s="306"/>
      <c r="EZ202" s="306"/>
      <c r="FA202" s="306"/>
      <c r="FB202" s="306"/>
      <c r="FC202" s="306"/>
      <c r="FD202" s="306"/>
      <c r="FE202" s="306"/>
      <c r="FF202" s="306"/>
      <c r="FG202" s="306"/>
      <c r="FH202" s="306"/>
      <c r="FI202" s="306"/>
      <c r="FJ202" s="306"/>
      <c r="FK202" s="306"/>
      <c r="FL202" s="306"/>
      <c r="FM202" s="306"/>
      <c r="FN202" s="306"/>
      <c r="FO202" s="306"/>
      <c r="FP202" s="306"/>
      <c r="FQ202" s="306"/>
      <c r="FR202" s="306"/>
      <c r="FS202" s="306"/>
      <c r="FT202" s="306"/>
      <c r="FU202" s="306"/>
      <c r="FV202" s="306"/>
      <c r="FW202" s="306"/>
      <c r="FX202" s="306"/>
      <c r="FY202" s="306"/>
      <c r="FZ202" s="306"/>
      <c r="GA202" s="306"/>
      <c r="GB202" s="306"/>
      <c r="GC202" s="306"/>
      <c r="GD202" s="306"/>
      <c r="GE202" s="306"/>
      <c r="GF202" s="306"/>
      <c r="GG202" s="306"/>
      <c r="GH202" s="306"/>
      <c r="GI202" s="306"/>
      <c r="GJ202" s="306"/>
      <c r="GK202" s="306"/>
      <c r="GL202" s="306"/>
      <c r="GM202" s="306"/>
      <c r="GN202" s="306"/>
      <c r="GO202" s="306"/>
      <c r="GP202" s="306"/>
      <c r="GQ202" s="306"/>
      <c r="GR202" s="306"/>
      <c r="GS202" s="306"/>
      <c r="GT202" s="306"/>
      <c r="GU202" s="306"/>
      <c r="GV202" s="306"/>
      <c r="GW202" s="306"/>
      <c r="GX202" s="306"/>
      <c r="GY202" s="306"/>
      <c r="GZ202" s="306"/>
      <c r="HA202" s="306"/>
      <c r="HB202" s="306"/>
      <c r="HC202" s="306"/>
      <c r="HD202" s="306"/>
      <c r="HE202" s="306"/>
      <c r="HF202" s="306"/>
      <c r="HG202" s="306"/>
      <c r="HH202" s="306"/>
      <c r="HI202" s="306"/>
      <c r="HJ202" s="306"/>
      <c r="HK202" s="306"/>
      <c r="HL202" s="306"/>
      <c r="HM202" s="306"/>
      <c r="HN202" s="306"/>
      <c r="HO202" s="306"/>
      <c r="HP202" s="306"/>
      <c r="HQ202" s="306"/>
      <c r="HR202" s="306"/>
      <c r="HS202" s="306"/>
      <c r="HT202" s="306"/>
      <c r="HU202" s="306"/>
      <c r="HV202" s="306"/>
      <c r="HW202" s="306"/>
      <c r="HX202" s="306"/>
      <c r="HY202" s="306"/>
      <c r="HZ202" s="306"/>
      <c r="IA202" s="306"/>
      <c r="IB202" s="306"/>
      <c r="IC202" s="306"/>
      <c r="ID202" s="306"/>
      <c r="IE202" s="306"/>
    </row>
    <row r="203" spans="1:239" ht="25.5">
      <c r="A203" s="305">
        <v>10</v>
      </c>
      <c r="B203" s="356">
        <v>43074</v>
      </c>
      <c r="C203" s="305" t="s">
        <v>514</v>
      </c>
      <c r="D203" s="305" t="s">
        <v>693</v>
      </c>
      <c r="E203" s="305">
        <v>0.4</v>
      </c>
      <c r="F203" s="350" t="s">
        <v>711</v>
      </c>
      <c r="G203" s="305" t="s">
        <v>522</v>
      </c>
      <c r="H203" s="305">
        <v>1</v>
      </c>
      <c r="I203" s="305">
        <v>13</v>
      </c>
      <c r="J203" s="305">
        <v>122.6</v>
      </c>
      <c r="K203" s="305">
        <v>1</v>
      </c>
      <c r="L203" s="347"/>
      <c r="M203" s="346">
        <f t="shared" si="12"/>
        <v>13</v>
      </c>
      <c r="N203" s="346">
        <f t="shared" si="13"/>
        <v>122.6</v>
      </c>
      <c r="O203" s="34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306"/>
      <c r="BC203" s="306"/>
      <c r="BD203" s="306"/>
      <c r="BE203" s="306"/>
      <c r="BF203" s="306"/>
      <c r="BG203" s="306"/>
      <c r="BH203" s="306"/>
      <c r="BI203" s="306"/>
      <c r="BJ203" s="306"/>
      <c r="BK203" s="306"/>
      <c r="BL203" s="306"/>
      <c r="BM203" s="306"/>
      <c r="BN203" s="306"/>
      <c r="BO203" s="306"/>
      <c r="BP203" s="306"/>
      <c r="BQ203" s="306"/>
      <c r="BR203" s="306"/>
      <c r="BS203" s="306"/>
      <c r="BT203" s="306"/>
      <c r="BU203" s="306"/>
      <c r="BV203" s="306"/>
      <c r="BW203" s="306"/>
      <c r="BX203" s="306"/>
      <c r="BY203" s="306"/>
      <c r="BZ203" s="306"/>
      <c r="CA203" s="306"/>
      <c r="CB203" s="306"/>
      <c r="CC203" s="306"/>
      <c r="CD203" s="306"/>
      <c r="CE203" s="306"/>
      <c r="CF203" s="306"/>
      <c r="CG203" s="306"/>
      <c r="CH203" s="306"/>
      <c r="CI203" s="306"/>
      <c r="CJ203" s="306"/>
      <c r="CK203" s="306"/>
      <c r="CL203" s="306"/>
      <c r="CM203" s="306"/>
      <c r="CN203" s="306"/>
      <c r="CO203" s="306"/>
      <c r="CP203" s="306"/>
      <c r="CQ203" s="306"/>
      <c r="CR203" s="306"/>
      <c r="CS203" s="306"/>
      <c r="CT203" s="306"/>
      <c r="CU203" s="306"/>
      <c r="CV203" s="306"/>
      <c r="CW203" s="306"/>
      <c r="CX203" s="306"/>
      <c r="CY203" s="306"/>
      <c r="CZ203" s="306"/>
      <c r="DA203" s="306"/>
      <c r="DB203" s="306"/>
      <c r="DC203" s="306"/>
      <c r="DD203" s="306"/>
      <c r="DE203" s="306"/>
      <c r="DF203" s="306"/>
      <c r="DG203" s="306"/>
      <c r="DH203" s="306"/>
      <c r="DI203" s="306"/>
      <c r="DJ203" s="306"/>
      <c r="DK203" s="306"/>
      <c r="DL203" s="306"/>
      <c r="DM203" s="306"/>
      <c r="DN203" s="306"/>
      <c r="DO203" s="306"/>
      <c r="DP203" s="306"/>
      <c r="DQ203" s="306"/>
      <c r="DR203" s="306"/>
      <c r="DS203" s="306"/>
      <c r="DT203" s="306"/>
      <c r="DU203" s="306"/>
      <c r="DV203" s="306"/>
      <c r="DW203" s="306"/>
      <c r="DX203" s="306"/>
      <c r="DY203" s="306"/>
      <c r="DZ203" s="306"/>
      <c r="EA203" s="306"/>
      <c r="EB203" s="306"/>
      <c r="EC203" s="306"/>
      <c r="ED203" s="306"/>
      <c r="EE203" s="306"/>
      <c r="EF203" s="306"/>
      <c r="EG203" s="306"/>
      <c r="EH203" s="306"/>
      <c r="EI203" s="306"/>
      <c r="EJ203" s="306"/>
      <c r="EK203" s="306"/>
      <c r="EL203" s="306"/>
      <c r="EM203" s="306"/>
      <c r="EN203" s="306"/>
      <c r="EO203" s="306"/>
      <c r="EP203" s="306"/>
      <c r="EQ203" s="306"/>
      <c r="ER203" s="306"/>
      <c r="ES203" s="306"/>
      <c r="ET203" s="306"/>
      <c r="EU203" s="306"/>
      <c r="EV203" s="306"/>
      <c r="EW203" s="306"/>
      <c r="EX203" s="306"/>
      <c r="EY203" s="306"/>
      <c r="EZ203" s="306"/>
      <c r="FA203" s="306"/>
      <c r="FB203" s="306"/>
      <c r="FC203" s="306"/>
      <c r="FD203" s="306"/>
      <c r="FE203" s="306"/>
      <c r="FF203" s="306"/>
      <c r="FG203" s="306"/>
      <c r="FH203" s="306"/>
      <c r="FI203" s="306"/>
      <c r="FJ203" s="306"/>
      <c r="FK203" s="306"/>
      <c r="FL203" s="306"/>
      <c r="FM203" s="306"/>
      <c r="FN203" s="306"/>
      <c r="FO203" s="306"/>
      <c r="FP203" s="306"/>
      <c r="FQ203" s="306"/>
      <c r="FR203" s="306"/>
      <c r="FS203" s="306"/>
      <c r="FT203" s="306"/>
      <c r="FU203" s="306"/>
      <c r="FV203" s="306"/>
      <c r="FW203" s="306"/>
      <c r="FX203" s="306"/>
      <c r="FY203" s="306"/>
      <c r="FZ203" s="306"/>
      <c r="GA203" s="306"/>
      <c r="GB203" s="306"/>
      <c r="GC203" s="306"/>
      <c r="GD203" s="306"/>
      <c r="GE203" s="306"/>
      <c r="GF203" s="306"/>
      <c r="GG203" s="306"/>
      <c r="GH203" s="306"/>
      <c r="GI203" s="306"/>
      <c r="GJ203" s="306"/>
      <c r="GK203" s="306"/>
      <c r="GL203" s="306"/>
      <c r="GM203" s="306"/>
      <c r="GN203" s="306"/>
      <c r="GO203" s="306"/>
      <c r="GP203" s="306"/>
      <c r="GQ203" s="306"/>
      <c r="GR203" s="306"/>
      <c r="GS203" s="306"/>
      <c r="GT203" s="306"/>
      <c r="GU203" s="306"/>
      <c r="GV203" s="306"/>
      <c r="GW203" s="306"/>
      <c r="GX203" s="306"/>
      <c r="GY203" s="306"/>
      <c r="GZ203" s="306"/>
      <c r="HA203" s="306"/>
      <c r="HB203" s="306"/>
      <c r="HC203" s="306"/>
      <c r="HD203" s="306"/>
      <c r="HE203" s="306"/>
      <c r="HF203" s="306"/>
      <c r="HG203" s="306"/>
      <c r="HH203" s="306"/>
      <c r="HI203" s="306"/>
      <c r="HJ203" s="306"/>
      <c r="HK203" s="306"/>
      <c r="HL203" s="306"/>
      <c r="HM203" s="306"/>
      <c r="HN203" s="306"/>
      <c r="HO203" s="306"/>
      <c r="HP203" s="306"/>
      <c r="HQ203" s="306"/>
      <c r="HR203" s="306"/>
      <c r="HS203" s="306"/>
      <c r="HT203" s="306"/>
      <c r="HU203" s="306"/>
      <c r="HV203" s="306"/>
      <c r="HW203" s="306"/>
      <c r="HX203" s="306"/>
      <c r="HY203" s="306"/>
      <c r="HZ203" s="306"/>
      <c r="IA203" s="306"/>
      <c r="IB203" s="306"/>
      <c r="IC203" s="306"/>
      <c r="ID203" s="306"/>
      <c r="IE203" s="306"/>
    </row>
    <row r="204" spans="1:239" ht="25.5">
      <c r="A204" s="305">
        <v>11</v>
      </c>
      <c r="B204" s="356">
        <v>43095</v>
      </c>
      <c r="C204" s="305" t="s">
        <v>514</v>
      </c>
      <c r="D204" s="305" t="s">
        <v>694</v>
      </c>
      <c r="E204" s="305">
        <v>6</v>
      </c>
      <c r="F204" s="350" t="s">
        <v>711</v>
      </c>
      <c r="G204" s="305" t="s">
        <v>522</v>
      </c>
      <c r="H204" s="305">
        <v>1</v>
      </c>
      <c r="I204" s="305">
        <v>23</v>
      </c>
      <c r="J204" s="305">
        <v>649.9</v>
      </c>
      <c r="K204" s="305">
        <v>1</v>
      </c>
      <c r="L204" s="347"/>
      <c r="M204" s="346">
        <f t="shared" si="12"/>
        <v>23</v>
      </c>
      <c r="N204" s="346">
        <f t="shared" si="13"/>
        <v>649.9</v>
      </c>
      <c r="O204" s="34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6"/>
      <c r="BE204" s="306"/>
      <c r="BF204" s="306"/>
      <c r="BG204" s="306"/>
      <c r="BH204" s="306"/>
      <c r="BI204" s="306"/>
      <c r="BJ204" s="306"/>
      <c r="BK204" s="306"/>
      <c r="BL204" s="306"/>
      <c r="BM204" s="306"/>
      <c r="BN204" s="306"/>
      <c r="BO204" s="306"/>
      <c r="BP204" s="306"/>
      <c r="BQ204" s="306"/>
      <c r="BR204" s="306"/>
      <c r="BS204" s="306"/>
      <c r="BT204" s="306"/>
      <c r="BU204" s="306"/>
      <c r="BV204" s="306"/>
      <c r="BW204" s="306"/>
      <c r="BX204" s="306"/>
      <c r="BY204" s="306"/>
      <c r="BZ204" s="306"/>
      <c r="CA204" s="306"/>
      <c r="CB204" s="306"/>
      <c r="CC204" s="306"/>
      <c r="CD204" s="306"/>
      <c r="CE204" s="306"/>
      <c r="CF204" s="306"/>
      <c r="CG204" s="306"/>
      <c r="CH204" s="306"/>
      <c r="CI204" s="306"/>
      <c r="CJ204" s="306"/>
      <c r="CK204" s="306"/>
      <c r="CL204" s="306"/>
      <c r="CM204" s="306"/>
      <c r="CN204" s="306"/>
      <c r="CO204" s="306"/>
      <c r="CP204" s="306"/>
      <c r="CQ204" s="306"/>
      <c r="CR204" s="306"/>
      <c r="CS204" s="306"/>
      <c r="CT204" s="306"/>
      <c r="CU204" s="306"/>
      <c r="CV204" s="306"/>
      <c r="CW204" s="306"/>
      <c r="CX204" s="306"/>
      <c r="CY204" s="306"/>
      <c r="CZ204" s="306"/>
      <c r="DA204" s="306"/>
      <c r="DB204" s="306"/>
      <c r="DC204" s="306"/>
      <c r="DD204" s="306"/>
      <c r="DE204" s="306"/>
      <c r="DF204" s="306"/>
      <c r="DG204" s="306"/>
      <c r="DH204" s="306"/>
      <c r="DI204" s="306"/>
      <c r="DJ204" s="306"/>
      <c r="DK204" s="306"/>
      <c r="DL204" s="306"/>
      <c r="DM204" s="306"/>
      <c r="DN204" s="306"/>
      <c r="DO204" s="306"/>
      <c r="DP204" s="306"/>
      <c r="DQ204" s="306"/>
      <c r="DR204" s="306"/>
      <c r="DS204" s="306"/>
      <c r="DT204" s="306"/>
      <c r="DU204" s="306"/>
      <c r="DV204" s="306"/>
      <c r="DW204" s="306"/>
      <c r="DX204" s="306"/>
      <c r="DY204" s="306"/>
      <c r="DZ204" s="306"/>
      <c r="EA204" s="306"/>
      <c r="EB204" s="306"/>
      <c r="EC204" s="306"/>
      <c r="ED204" s="306"/>
      <c r="EE204" s="306"/>
      <c r="EF204" s="306"/>
      <c r="EG204" s="306"/>
      <c r="EH204" s="306"/>
      <c r="EI204" s="306"/>
      <c r="EJ204" s="306"/>
      <c r="EK204" s="306"/>
      <c r="EL204" s="306"/>
      <c r="EM204" s="306"/>
      <c r="EN204" s="306"/>
      <c r="EO204" s="306"/>
      <c r="EP204" s="306"/>
      <c r="EQ204" s="306"/>
      <c r="ER204" s="306"/>
      <c r="ES204" s="306"/>
      <c r="ET204" s="306"/>
      <c r="EU204" s="306"/>
      <c r="EV204" s="306"/>
      <c r="EW204" s="306"/>
      <c r="EX204" s="306"/>
      <c r="EY204" s="306"/>
      <c r="EZ204" s="306"/>
      <c r="FA204" s="306"/>
      <c r="FB204" s="306"/>
      <c r="FC204" s="306"/>
      <c r="FD204" s="306"/>
      <c r="FE204" s="306"/>
      <c r="FF204" s="306"/>
      <c r="FG204" s="306"/>
      <c r="FH204" s="306"/>
      <c r="FI204" s="306"/>
      <c r="FJ204" s="306"/>
      <c r="FK204" s="306"/>
      <c r="FL204" s="306"/>
      <c r="FM204" s="306"/>
      <c r="FN204" s="306"/>
      <c r="FO204" s="306"/>
      <c r="FP204" s="306"/>
      <c r="FQ204" s="306"/>
      <c r="FR204" s="306"/>
      <c r="FS204" s="306"/>
      <c r="FT204" s="306"/>
      <c r="FU204" s="306"/>
      <c r="FV204" s="306"/>
      <c r="FW204" s="306"/>
      <c r="FX204" s="306"/>
      <c r="FY204" s="306"/>
      <c r="FZ204" s="306"/>
      <c r="GA204" s="306"/>
      <c r="GB204" s="306"/>
      <c r="GC204" s="306"/>
      <c r="GD204" s="306"/>
      <c r="GE204" s="306"/>
      <c r="GF204" s="306"/>
      <c r="GG204" s="306"/>
      <c r="GH204" s="306"/>
      <c r="GI204" s="306"/>
      <c r="GJ204" s="306"/>
      <c r="GK204" s="306"/>
      <c r="GL204" s="306"/>
      <c r="GM204" s="306"/>
      <c r="GN204" s="306"/>
      <c r="GO204" s="306"/>
      <c r="GP204" s="306"/>
      <c r="GQ204" s="306"/>
      <c r="GR204" s="306"/>
      <c r="GS204" s="306"/>
      <c r="GT204" s="306"/>
      <c r="GU204" s="306"/>
      <c r="GV204" s="306"/>
      <c r="GW204" s="306"/>
      <c r="GX204" s="306"/>
      <c r="GY204" s="306"/>
      <c r="GZ204" s="306"/>
      <c r="HA204" s="306"/>
      <c r="HB204" s="306"/>
      <c r="HC204" s="306"/>
      <c r="HD204" s="306"/>
      <c r="HE204" s="306"/>
      <c r="HF204" s="306"/>
      <c r="HG204" s="306"/>
      <c r="HH204" s="306"/>
      <c r="HI204" s="306"/>
      <c r="HJ204" s="306"/>
      <c r="HK204" s="306"/>
      <c r="HL204" s="306"/>
      <c r="HM204" s="306"/>
      <c r="HN204" s="306"/>
      <c r="HO204" s="306"/>
      <c r="HP204" s="306"/>
      <c r="HQ204" s="306"/>
      <c r="HR204" s="306"/>
      <c r="HS204" s="306"/>
      <c r="HT204" s="306"/>
      <c r="HU204" s="306"/>
      <c r="HV204" s="306"/>
      <c r="HW204" s="306"/>
      <c r="HX204" s="306"/>
      <c r="HY204" s="306"/>
      <c r="HZ204" s="306"/>
      <c r="IA204" s="306"/>
      <c r="IB204" s="306"/>
      <c r="IC204" s="306"/>
      <c r="ID204" s="306"/>
      <c r="IE204" s="306"/>
    </row>
    <row r="205" spans="1:239" ht="25.5">
      <c r="A205" s="305">
        <v>12</v>
      </c>
      <c r="B205" s="356">
        <v>43097</v>
      </c>
      <c r="C205" s="305" t="s">
        <v>514</v>
      </c>
      <c r="D205" s="305" t="s">
        <v>695</v>
      </c>
      <c r="E205" s="305">
        <v>6</v>
      </c>
      <c r="F205" s="350" t="s">
        <v>711</v>
      </c>
      <c r="G205" s="305" t="s">
        <v>522</v>
      </c>
      <c r="H205" s="305">
        <v>1.67</v>
      </c>
      <c r="I205" s="305">
        <v>6</v>
      </c>
      <c r="J205" s="305">
        <v>165</v>
      </c>
      <c r="K205" s="305">
        <v>1</v>
      </c>
      <c r="L205" s="347"/>
      <c r="M205" s="346">
        <f t="shared" si="12"/>
        <v>10.02</v>
      </c>
      <c r="N205" s="346">
        <f t="shared" si="13"/>
        <v>275.55</v>
      </c>
      <c r="O205" s="34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6"/>
      <c r="AT205" s="306"/>
      <c r="AU205" s="306"/>
      <c r="AV205" s="306"/>
      <c r="AW205" s="306"/>
      <c r="AX205" s="306"/>
      <c r="AY205" s="306"/>
      <c r="AZ205" s="306"/>
      <c r="BA205" s="306"/>
      <c r="BB205" s="306"/>
      <c r="BC205" s="306"/>
      <c r="BD205" s="306"/>
      <c r="BE205" s="306"/>
      <c r="BF205" s="306"/>
      <c r="BG205" s="306"/>
      <c r="BH205" s="306"/>
      <c r="BI205" s="306"/>
      <c r="BJ205" s="306"/>
      <c r="BK205" s="306"/>
      <c r="BL205" s="306"/>
      <c r="BM205" s="306"/>
      <c r="BN205" s="306"/>
      <c r="BO205" s="306"/>
      <c r="BP205" s="306"/>
      <c r="BQ205" s="306"/>
      <c r="BR205" s="306"/>
      <c r="BS205" s="306"/>
      <c r="BT205" s="306"/>
      <c r="BU205" s="306"/>
      <c r="BV205" s="306"/>
      <c r="BW205" s="306"/>
      <c r="BX205" s="306"/>
      <c r="BY205" s="306"/>
      <c r="BZ205" s="306"/>
      <c r="CA205" s="306"/>
      <c r="CB205" s="306"/>
      <c r="CC205" s="306"/>
      <c r="CD205" s="306"/>
      <c r="CE205" s="306"/>
      <c r="CF205" s="306"/>
      <c r="CG205" s="306"/>
      <c r="CH205" s="306"/>
      <c r="CI205" s="306"/>
      <c r="CJ205" s="306"/>
      <c r="CK205" s="306"/>
      <c r="CL205" s="306"/>
      <c r="CM205" s="306"/>
      <c r="CN205" s="306"/>
      <c r="CO205" s="306"/>
      <c r="CP205" s="306"/>
      <c r="CQ205" s="306"/>
      <c r="CR205" s="306"/>
      <c r="CS205" s="306"/>
      <c r="CT205" s="306"/>
      <c r="CU205" s="306"/>
      <c r="CV205" s="306"/>
      <c r="CW205" s="306"/>
      <c r="CX205" s="306"/>
      <c r="CY205" s="306"/>
      <c r="CZ205" s="306"/>
      <c r="DA205" s="306"/>
      <c r="DB205" s="306"/>
      <c r="DC205" s="306"/>
      <c r="DD205" s="306"/>
      <c r="DE205" s="306"/>
      <c r="DF205" s="306"/>
      <c r="DG205" s="306"/>
      <c r="DH205" s="306"/>
      <c r="DI205" s="306"/>
      <c r="DJ205" s="306"/>
      <c r="DK205" s="306"/>
      <c r="DL205" s="306"/>
      <c r="DM205" s="306"/>
      <c r="DN205" s="306"/>
      <c r="DO205" s="306"/>
      <c r="DP205" s="306"/>
      <c r="DQ205" s="306"/>
      <c r="DR205" s="306"/>
      <c r="DS205" s="306"/>
      <c r="DT205" s="306"/>
      <c r="DU205" s="306"/>
      <c r="DV205" s="306"/>
      <c r="DW205" s="306"/>
      <c r="DX205" s="306"/>
      <c r="DY205" s="306"/>
      <c r="DZ205" s="306"/>
      <c r="EA205" s="306"/>
      <c r="EB205" s="306"/>
      <c r="EC205" s="306"/>
      <c r="ED205" s="306"/>
      <c r="EE205" s="306"/>
      <c r="EF205" s="306"/>
      <c r="EG205" s="306"/>
      <c r="EH205" s="306"/>
      <c r="EI205" s="306"/>
      <c r="EJ205" s="306"/>
      <c r="EK205" s="306"/>
      <c r="EL205" s="306"/>
      <c r="EM205" s="306"/>
      <c r="EN205" s="306"/>
      <c r="EO205" s="306"/>
      <c r="EP205" s="306"/>
      <c r="EQ205" s="306"/>
      <c r="ER205" s="306"/>
      <c r="ES205" s="306"/>
      <c r="ET205" s="306"/>
      <c r="EU205" s="306"/>
      <c r="EV205" s="306"/>
      <c r="EW205" s="306"/>
      <c r="EX205" s="306"/>
      <c r="EY205" s="306"/>
      <c r="EZ205" s="306"/>
      <c r="FA205" s="306"/>
      <c r="FB205" s="306"/>
      <c r="FC205" s="306"/>
      <c r="FD205" s="306"/>
      <c r="FE205" s="306"/>
      <c r="FF205" s="306"/>
      <c r="FG205" s="306"/>
      <c r="FH205" s="306"/>
      <c r="FI205" s="306"/>
      <c r="FJ205" s="306"/>
      <c r="FK205" s="306"/>
      <c r="FL205" s="306"/>
      <c r="FM205" s="306"/>
      <c r="FN205" s="306"/>
      <c r="FO205" s="306"/>
      <c r="FP205" s="306"/>
      <c r="FQ205" s="306"/>
      <c r="FR205" s="306"/>
      <c r="FS205" s="306"/>
      <c r="FT205" s="306"/>
      <c r="FU205" s="306"/>
      <c r="FV205" s="306"/>
      <c r="FW205" s="306"/>
      <c r="FX205" s="306"/>
      <c r="FY205" s="306"/>
      <c r="FZ205" s="306"/>
      <c r="GA205" s="306"/>
      <c r="GB205" s="306"/>
      <c r="GC205" s="306"/>
      <c r="GD205" s="306"/>
      <c r="GE205" s="306"/>
      <c r="GF205" s="306"/>
      <c r="GG205" s="306"/>
      <c r="GH205" s="306"/>
      <c r="GI205" s="306"/>
      <c r="GJ205" s="306"/>
      <c r="GK205" s="306"/>
      <c r="GL205" s="306"/>
      <c r="GM205" s="306"/>
      <c r="GN205" s="306"/>
      <c r="GO205" s="306"/>
      <c r="GP205" s="306"/>
      <c r="GQ205" s="306"/>
      <c r="GR205" s="306"/>
      <c r="GS205" s="306"/>
      <c r="GT205" s="306"/>
      <c r="GU205" s="306"/>
      <c r="GV205" s="306"/>
      <c r="GW205" s="306"/>
      <c r="GX205" s="306"/>
      <c r="GY205" s="306"/>
      <c r="GZ205" s="306"/>
      <c r="HA205" s="306"/>
      <c r="HB205" s="306"/>
      <c r="HC205" s="306"/>
      <c r="HD205" s="306"/>
      <c r="HE205" s="306"/>
      <c r="HF205" s="306"/>
      <c r="HG205" s="306"/>
      <c r="HH205" s="306"/>
      <c r="HI205" s="306"/>
      <c r="HJ205" s="306"/>
      <c r="HK205" s="306"/>
      <c r="HL205" s="306"/>
      <c r="HM205" s="306"/>
      <c r="HN205" s="306"/>
      <c r="HO205" s="306"/>
      <c r="HP205" s="306"/>
      <c r="HQ205" s="306"/>
      <c r="HR205" s="306"/>
      <c r="HS205" s="306"/>
      <c r="HT205" s="306"/>
      <c r="HU205" s="306"/>
      <c r="HV205" s="306"/>
      <c r="HW205" s="306"/>
      <c r="HX205" s="306"/>
      <c r="HY205" s="306"/>
      <c r="HZ205" s="306"/>
      <c r="IA205" s="306"/>
      <c r="IB205" s="306"/>
      <c r="IC205" s="306"/>
      <c r="ID205" s="306"/>
      <c r="IE205" s="306"/>
    </row>
    <row r="206" spans="1:239" ht="25.5">
      <c r="A206" s="311">
        <v>13</v>
      </c>
      <c r="B206" s="358">
        <v>43098</v>
      </c>
      <c r="C206" s="311" t="s">
        <v>514</v>
      </c>
      <c r="D206" s="311" t="s">
        <v>695</v>
      </c>
      <c r="E206" s="311">
        <v>6</v>
      </c>
      <c r="F206" s="351" t="s">
        <v>711</v>
      </c>
      <c r="G206" s="311" t="s">
        <v>522</v>
      </c>
      <c r="H206" s="311">
        <v>1.67</v>
      </c>
      <c r="I206" s="311">
        <v>6</v>
      </c>
      <c r="J206" s="311">
        <v>165</v>
      </c>
      <c r="K206" s="311">
        <v>1</v>
      </c>
      <c r="L206" s="347"/>
      <c r="M206" s="346">
        <f t="shared" si="12"/>
        <v>10.02</v>
      </c>
      <c r="N206" s="346">
        <f t="shared" si="13"/>
        <v>275.55</v>
      </c>
      <c r="O206" s="34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6"/>
      <c r="AT206" s="306"/>
      <c r="AU206" s="306"/>
      <c r="AV206" s="306"/>
      <c r="AW206" s="306"/>
      <c r="AX206" s="306"/>
      <c r="AY206" s="306"/>
      <c r="AZ206" s="306"/>
      <c r="BA206" s="306"/>
      <c r="BB206" s="306"/>
      <c r="BC206" s="306"/>
      <c r="BD206" s="306"/>
      <c r="BE206" s="306"/>
      <c r="BF206" s="306"/>
      <c r="BG206" s="306"/>
      <c r="BH206" s="306"/>
      <c r="BI206" s="306"/>
      <c r="BJ206" s="306"/>
      <c r="BK206" s="306"/>
      <c r="BL206" s="306"/>
      <c r="BM206" s="306"/>
      <c r="BN206" s="306"/>
      <c r="BO206" s="306"/>
      <c r="BP206" s="306"/>
      <c r="BQ206" s="306"/>
      <c r="BR206" s="306"/>
      <c r="BS206" s="306"/>
      <c r="BT206" s="306"/>
      <c r="BU206" s="306"/>
      <c r="BV206" s="306"/>
      <c r="BW206" s="306"/>
      <c r="BX206" s="306"/>
      <c r="BY206" s="306"/>
      <c r="BZ206" s="306"/>
      <c r="CA206" s="306"/>
      <c r="CB206" s="306"/>
      <c r="CC206" s="306"/>
      <c r="CD206" s="306"/>
      <c r="CE206" s="306"/>
      <c r="CF206" s="306"/>
      <c r="CG206" s="306"/>
      <c r="CH206" s="306"/>
      <c r="CI206" s="306"/>
      <c r="CJ206" s="306"/>
      <c r="CK206" s="306"/>
      <c r="CL206" s="306"/>
      <c r="CM206" s="306"/>
      <c r="CN206" s="306"/>
      <c r="CO206" s="306"/>
      <c r="CP206" s="306"/>
      <c r="CQ206" s="306"/>
      <c r="CR206" s="306"/>
      <c r="CS206" s="306"/>
      <c r="CT206" s="306"/>
      <c r="CU206" s="306"/>
      <c r="CV206" s="306"/>
      <c r="CW206" s="306"/>
      <c r="CX206" s="306"/>
      <c r="CY206" s="306"/>
      <c r="CZ206" s="306"/>
      <c r="DA206" s="306"/>
      <c r="DB206" s="306"/>
      <c r="DC206" s="306"/>
      <c r="DD206" s="306"/>
      <c r="DE206" s="306"/>
      <c r="DF206" s="306"/>
      <c r="DG206" s="306"/>
      <c r="DH206" s="306"/>
      <c r="DI206" s="306"/>
      <c r="DJ206" s="306"/>
      <c r="DK206" s="306"/>
      <c r="DL206" s="306"/>
      <c r="DM206" s="306"/>
      <c r="DN206" s="306"/>
      <c r="DO206" s="306"/>
      <c r="DP206" s="306"/>
      <c r="DQ206" s="306"/>
      <c r="DR206" s="306"/>
      <c r="DS206" s="306"/>
      <c r="DT206" s="306"/>
      <c r="DU206" s="306"/>
      <c r="DV206" s="306"/>
      <c r="DW206" s="306"/>
      <c r="DX206" s="306"/>
      <c r="DY206" s="306"/>
      <c r="DZ206" s="306"/>
      <c r="EA206" s="306"/>
      <c r="EB206" s="306"/>
      <c r="EC206" s="306"/>
      <c r="ED206" s="306"/>
      <c r="EE206" s="306"/>
      <c r="EF206" s="306"/>
      <c r="EG206" s="306"/>
      <c r="EH206" s="306"/>
      <c r="EI206" s="306"/>
      <c r="EJ206" s="306"/>
      <c r="EK206" s="306"/>
      <c r="EL206" s="306"/>
      <c r="EM206" s="306"/>
      <c r="EN206" s="306"/>
      <c r="EO206" s="306"/>
      <c r="EP206" s="306"/>
      <c r="EQ206" s="306"/>
      <c r="ER206" s="306"/>
      <c r="ES206" s="306"/>
      <c r="ET206" s="306"/>
      <c r="EU206" s="306"/>
      <c r="EV206" s="306"/>
      <c r="EW206" s="306"/>
      <c r="EX206" s="306"/>
      <c r="EY206" s="306"/>
      <c r="EZ206" s="306"/>
      <c r="FA206" s="306"/>
      <c r="FB206" s="306"/>
      <c r="FC206" s="306"/>
      <c r="FD206" s="306"/>
      <c r="FE206" s="306"/>
      <c r="FF206" s="306"/>
      <c r="FG206" s="306"/>
      <c r="FH206" s="306"/>
      <c r="FI206" s="306"/>
      <c r="FJ206" s="306"/>
      <c r="FK206" s="306"/>
      <c r="FL206" s="306"/>
      <c r="FM206" s="306"/>
      <c r="FN206" s="306"/>
      <c r="FO206" s="306"/>
      <c r="FP206" s="306"/>
      <c r="FQ206" s="306"/>
      <c r="FR206" s="306"/>
      <c r="FS206" s="306"/>
      <c r="FT206" s="306"/>
      <c r="FU206" s="306"/>
      <c r="FV206" s="306"/>
      <c r="FW206" s="306"/>
      <c r="FX206" s="306"/>
      <c r="FY206" s="306"/>
      <c r="FZ206" s="306"/>
      <c r="GA206" s="306"/>
      <c r="GB206" s="306"/>
      <c r="GC206" s="306"/>
      <c r="GD206" s="306"/>
      <c r="GE206" s="306"/>
      <c r="GF206" s="306"/>
      <c r="GG206" s="306"/>
      <c r="GH206" s="306"/>
      <c r="GI206" s="306"/>
      <c r="GJ206" s="306"/>
      <c r="GK206" s="306"/>
      <c r="GL206" s="306"/>
      <c r="GM206" s="306"/>
      <c r="GN206" s="306"/>
      <c r="GO206" s="306"/>
      <c r="GP206" s="306"/>
      <c r="GQ206" s="306"/>
      <c r="GR206" s="306"/>
      <c r="GS206" s="306"/>
      <c r="GT206" s="306"/>
      <c r="GU206" s="306"/>
      <c r="GV206" s="306"/>
      <c r="GW206" s="306"/>
      <c r="GX206" s="306"/>
      <c r="GY206" s="306"/>
      <c r="GZ206" s="306"/>
      <c r="HA206" s="306"/>
      <c r="HB206" s="306"/>
      <c r="HC206" s="306"/>
      <c r="HD206" s="306"/>
      <c r="HE206" s="306"/>
      <c r="HF206" s="306"/>
      <c r="HG206" s="306"/>
      <c r="HH206" s="306"/>
      <c r="HI206" s="306"/>
      <c r="HJ206" s="306"/>
      <c r="HK206" s="306"/>
      <c r="HL206" s="306"/>
      <c r="HM206" s="306"/>
      <c r="HN206" s="306"/>
      <c r="HO206" s="306"/>
      <c r="HP206" s="306"/>
      <c r="HQ206" s="306"/>
      <c r="HR206" s="306"/>
      <c r="HS206" s="306"/>
      <c r="HT206" s="306"/>
      <c r="HU206" s="306"/>
      <c r="HV206" s="306"/>
      <c r="HW206" s="306"/>
      <c r="HX206" s="306"/>
      <c r="HY206" s="306"/>
      <c r="HZ206" s="306"/>
      <c r="IA206" s="306"/>
      <c r="IB206" s="306"/>
      <c r="IC206" s="306"/>
      <c r="ID206" s="306"/>
      <c r="IE206" s="306"/>
    </row>
    <row r="207" spans="1:240" ht="15" customHeight="1">
      <c r="A207" s="756" t="s">
        <v>696</v>
      </c>
      <c r="B207" s="756"/>
      <c r="C207" s="756"/>
      <c r="D207" s="756"/>
      <c r="E207" s="756"/>
      <c r="F207" s="756"/>
      <c r="G207" s="352" t="s">
        <v>697</v>
      </c>
      <c r="H207" s="312">
        <f>SUM(H208:H210)</f>
        <v>313.9799999999999</v>
      </c>
      <c r="I207" s="314">
        <f>SUM(I208:I210)</f>
        <v>620</v>
      </c>
      <c r="J207" s="315">
        <f>SUM(J208:J210)</f>
        <v>20896.71</v>
      </c>
      <c r="K207" s="313" t="s">
        <v>698</v>
      </c>
      <c r="L207" s="316" t="s">
        <v>512</v>
      </c>
      <c r="M207" s="317">
        <f>M208+M210</f>
        <v>4896.960000000001</v>
      </c>
      <c r="N207" s="317">
        <f>N208+N210</f>
        <v>121406.26040000003</v>
      </c>
      <c r="O207" s="318" t="s">
        <v>513</v>
      </c>
      <c r="P207" s="319"/>
      <c r="Q207" s="320"/>
      <c r="R207" s="321"/>
      <c r="S207" s="320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  <c r="AX207" s="321"/>
      <c r="AY207" s="321"/>
      <c r="AZ207" s="321"/>
      <c r="BA207" s="321"/>
      <c r="BB207" s="321"/>
      <c r="BC207" s="321"/>
      <c r="BD207" s="321"/>
      <c r="BE207" s="321"/>
      <c r="BF207" s="321"/>
      <c r="BG207" s="321"/>
      <c r="BH207" s="321"/>
      <c r="BI207" s="321"/>
      <c r="BJ207" s="321"/>
      <c r="BK207" s="321"/>
      <c r="BL207" s="321"/>
      <c r="BM207" s="321"/>
      <c r="BN207" s="321"/>
      <c r="BO207" s="321"/>
      <c r="BP207" s="321"/>
      <c r="BQ207" s="321"/>
      <c r="BR207" s="321"/>
      <c r="BS207" s="321"/>
      <c r="BT207" s="321"/>
      <c r="BU207" s="321"/>
      <c r="BV207" s="321"/>
      <c r="BW207" s="321"/>
      <c r="BX207" s="321"/>
      <c r="BY207" s="321"/>
      <c r="BZ207" s="321"/>
      <c r="CA207" s="321"/>
      <c r="CB207" s="321"/>
      <c r="CC207" s="321"/>
      <c r="CD207" s="321"/>
      <c r="CE207" s="321"/>
      <c r="CF207" s="321"/>
      <c r="CG207" s="321"/>
      <c r="CH207" s="321"/>
      <c r="CI207" s="321"/>
      <c r="CJ207" s="321"/>
      <c r="CK207" s="321"/>
      <c r="CL207" s="321"/>
      <c r="CM207" s="321"/>
      <c r="CN207" s="321"/>
      <c r="CO207" s="321"/>
      <c r="CP207" s="321"/>
      <c r="CQ207" s="321"/>
      <c r="CR207" s="321"/>
      <c r="CS207" s="321"/>
      <c r="CT207" s="321"/>
      <c r="CU207" s="321"/>
      <c r="CV207" s="321"/>
      <c r="CW207" s="321"/>
      <c r="CX207" s="321"/>
      <c r="CY207" s="321"/>
      <c r="CZ207" s="321"/>
      <c r="DA207" s="321"/>
      <c r="DB207" s="321"/>
      <c r="DC207" s="321"/>
      <c r="DD207" s="321"/>
      <c r="DE207" s="321"/>
      <c r="DF207" s="321"/>
      <c r="DG207" s="321"/>
      <c r="DH207" s="321"/>
      <c r="DI207" s="321"/>
      <c r="DJ207" s="321"/>
      <c r="DK207" s="321"/>
      <c r="DL207" s="321"/>
      <c r="DM207" s="321"/>
      <c r="DN207" s="321"/>
      <c r="DO207" s="321"/>
      <c r="DP207" s="321"/>
      <c r="DQ207" s="321"/>
      <c r="DR207" s="321"/>
      <c r="DS207" s="321"/>
      <c r="DT207" s="321"/>
      <c r="DU207" s="321"/>
      <c r="DV207" s="321"/>
      <c r="DW207" s="321"/>
      <c r="DX207" s="321"/>
      <c r="DY207" s="321"/>
      <c r="DZ207" s="321"/>
      <c r="EA207" s="321"/>
      <c r="EB207" s="321"/>
      <c r="EC207" s="321"/>
      <c r="ED207" s="321"/>
      <c r="EE207" s="321"/>
      <c r="EF207" s="321"/>
      <c r="EG207" s="321"/>
      <c r="EH207" s="321"/>
      <c r="EI207" s="321"/>
      <c r="EJ207" s="321"/>
      <c r="EK207" s="321"/>
      <c r="EL207" s="321"/>
      <c r="EM207" s="321"/>
      <c r="EN207" s="321"/>
      <c r="EO207" s="321"/>
      <c r="EP207" s="321"/>
      <c r="EQ207" s="321"/>
      <c r="ER207" s="321"/>
      <c r="ES207" s="321"/>
      <c r="ET207" s="321"/>
      <c r="EU207" s="321"/>
      <c r="EV207" s="321"/>
      <c r="EW207" s="321"/>
      <c r="EX207" s="321"/>
      <c r="EY207" s="321"/>
      <c r="EZ207" s="321"/>
      <c r="FA207" s="321"/>
      <c r="FB207" s="321"/>
      <c r="FC207" s="321"/>
      <c r="FD207" s="321"/>
      <c r="FE207" s="321"/>
      <c r="FF207" s="321"/>
      <c r="FG207" s="321"/>
      <c r="FH207" s="321"/>
      <c r="FI207" s="321"/>
      <c r="FJ207" s="321"/>
      <c r="FK207" s="321"/>
      <c r="FL207" s="321"/>
      <c r="FM207" s="321"/>
      <c r="FN207" s="321"/>
      <c r="FO207" s="321"/>
      <c r="FP207" s="321"/>
      <c r="FQ207" s="321"/>
      <c r="FR207" s="321"/>
      <c r="FS207" s="321"/>
      <c r="FT207" s="321"/>
      <c r="FU207" s="321"/>
      <c r="FV207" s="321"/>
      <c r="FW207" s="321"/>
      <c r="FX207" s="321"/>
      <c r="FY207" s="321"/>
      <c r="FZ207" s="321"/>
      <c r="GA207" s="321"/>
      <c r="GB207" s="321"/>
      <c r="GC207" s="321"/>
      <c r="GD207" s="321"/>
      <c r="GE207" s="321"/>
      <c r="GF207" s="321"/>
      <c r="GG207" s="321"/>
      <c r="GH207" s="321"/>
      <c r="GI207" s="321"/>
      <c r="GJ207" s="321"/>
      <c r="GK207" s="321"/>
      <c r="GL207" s="321"/>
      <c r="GM207" s="321"/>
      <c r="GN207" s="321"/>
      <c r="GO207" s="321"/>
      <c r="GP207" s="321"/>
      <c r="GQ207" s="321"/>
      <c r="GR207" s="321"/>
      <c r="GS207" s="321"/>
      <c r="GT207" s="321"/>
      <c r="GU207" s="321"/>
      <c r="GV207" s="321"/>
      <c r="GW207" s="321"/>
      <c r="GX207" s="321"/>
      <c r="GY207" s="321"/>
      <c r="GZ207" s="321"/>
      <c r="HA207" s="321"/>
      <c r="HB207" s="321"/>
      <c r="HC207" s="321"/>
      <c r="HD207" s="321"/>
      <c r="HE207" s="321"/>
      <c r="HF207" s="321"/>
      <c r="HG207" s="321"/>
      <c r="HH207" s="321"/>
      <c r="HI207" s="321"/>
      <c r="HJ207" s="321"/>
      <c r="HK207" s="321"/>
      <c r="HL207" s="321"/>
      <c r="HM207" s="321"/>
      <c r="HN207" s="321"/>
      <c r="HO207" s="321"/>
      <c r="HP207" s="321"/>
      <c r="HQ207" s="321"/>
      <c r="HR207" s="321"/>
      <c r="HS207" s="321"/>
      <c r="HT207" s="321"/>
      <c r="HU207" s="321"/>
      <c r="HV207" s="321"/>
      <c r="HW207" s="321"/>
      <c r="HX207" s="321"/>
      <c r="HY207" s="321"/>
      <c r="HZ207" s="321"/>
      <c r="IA207" s="321"/>
      <c r="IB207" s="321"/>
      <c r="IC207" s="321"/>
      <c r="ID207" s="321"/>
      <c r="IE207" s="321"/>
      <c r="IF207" s="321"/>
    </row>
    <row r="208" spans="1:240" ht="15" customHeight="1">
      <c r="A208" s="748" t="s">
        <v>699</v>
      </c>
      <c r="B208" s="748"/>
      <c r="C208" s="748"/>
      <c r="D208" s="748"/>
      <c r="E208" s="748"/>
      <c r="F208" s="748"/>
      <c r="G208" s="352" t="s">
        <v>522</v>
      </c>
      <c r="H208" s="322">
        <f>H13+H14+H15+H16+H17+H21+H22+H23+H31+H32+H50+H51+H52+H53+H54+H68+H82+H83+H84+H122+H189+H190+H191+H192+H193+H203+H204+H205+H206</f>
        <v>243.50999999999993</v>
      </c>
      <c r="I208" s="324">
        <f>I13+I14+I15+I16+I17+I21+I22+I23+I31+I32+I50+I51+I52+I53+I54+I68+I82+I83+I84+I122+I189+I190+I191+I192+I193+I203+I204+I205+I206</f>
        <v>313</v>
      </c>
      <c r="J208" s="322">
        <f>J13+J14+J15+J16+J17+J21+J22+J23+J31+J32+J50+J51+J52+J53+J54+J68+J82+J83+J84+J122+J189+J190+J191+J192+J193+J203+J204+J205+J206</f>
        <v>15827.269999999999</v>
      </c>
      <c r="K208" s="323" t="s">
        <v>700</v>
      </c>
      <c r="L208" s="325" t="s">
        <v>512</v>
      </c>
      <c r="M208" s="326">
        <f>M13+M14+M15+M16+M17+M21+M22+M23+M31+M32+M50+M51+M52+M53+M54+M68+M82+M83+M84+M122+M189+M190+M191+M192+M193+M203+M204+M205+M206</f>
        <v>4243.040000000001</v>
      </c>
      <c r="N208" s="326">
        <f>N13+N14+N15+N16+N17+N21+N22+N23+N31+N32+N50+N51+N52+N53+N54+N68+N82+N83+N84+N122+N189+N190+N191+N192+N193+N203+N204+N205+N206</f>
        <v>108651.34060000003</v>
      </c>
      <c r="O208" s="321" t="s">
        <v>513</v>
      </c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1"/>
      <c r="AX208" s="321"/>
      <c r="AY208" s="321"/>
      <c r="AZ208" s="321"/>
      <c r="BA208" s="321"/>
      <c r="BB208" s="321"/>
      <c r="BC208" s="321"/>
      <c r="BD208" s="321"/>
      <c r="BE208" s="321"/>
      <c r="BF208" s="321"/>
      <c r="BG208" s="321"/>
      <c r="BH208" s="321"/>
      <c r="BI208" s="321"/>
      <c r="BJ208" s="321"/>
      <c r="BK208" s="321"/>
      <c r="BL208" s="321"/>
      <c r="BM208" s="321"/>
      <c r="BN208" s="321"/>
      <c r="BO208" s="321"/>
      <c r="BP208" s="321"/>
      <c r="BQ208" s="321"/>
      <c r="BR208" s="321"/>
      <c r="BS208" s="321"/>
      <c r="BT208" s="321"/>
      <c r="BU208" s="321"/>
      <c r="BV208" s="321"/>
      <c r="BW208" s="321"/>
      <c r="BX208" s="321"/>
      <c r="BY208" s="321"/>
      <c r="BZ208" s="321"/>
      <c r="CA208" s="321"/>
      <c r="CB208" s="321"/>
      <c r="CC208" s="321"/>
      <c r="CD208" s="321"/>
      <c r="CE208" s="321"/>
      <c r="CF208" s="321"/>
      <c r="CG208" s="321"/>
      <c r="CH208" s="321"/>
      <c r="CI208" s="321"/>
      <c r="CJ208" s="321"/>
      <c r="CK208" s="321"/>
      <c r="CL208" s="321"/>
      <c r="CM208" s="321"/>
      <c r="CN208" s="321"/>
      <c r="CO208" s="321"/>
      <c r="CP208" s="321"/>
      <c r="CQ208" s="321"/>
      <c r="CR208" s="321"/>
      <c r="CS208" s="321"/>
      <c r="CT208" s="321"/>
      <c r="CU208" s="321"/>
      <c r="CV208" s="321"/>
      <c r="CW208" s="321"/>
      <c r="CX208" s="321"/>
      <c r="CY208" s="321"/>
      <c r="CZ208" s="321"/>
      <c r="DA208" s="321"/>
      <c r="DB208" s="321"/>
      <c r="DC208" s="321"/>
      <c r="DD208" s="321"/>
      <c r="DE208" s="321"/>
      <c r="DF208" s="321"/>
      <c r="DG208" s="321"/>
      <c r="DH208" s="321"/>
      <c r="DI208" s="321"/>
      <c r="DJ208" s="321"/>
      <c r="DK208" s="321"/>
      <c r="DL208" s="321"/>
      <c r="DM208" s="321"/>
      <c r="DN208" s="321"/>
      <c r="DO208" s="321"/>
      <c r="DP208" s="321"/>
      <c r="DQ208" s="321"/>
      <c r="DR208" s="321"/>
      <c r="DS208" s="321"/>
      <c r="DT208" s="321"/>
      <c r="DU208" s="321"/>
      <c r="DV208" s="321"/>
      <c r="DW208" s="321"/>
      <c r="DX208" s="321"/>
      <c r="DY208" s="321"/>
      <c r="DZ208" s="321"/>
      <c r="EA208" s="321"/>
      <c r="EB208" s="321"/>
      <c r="EC208" s="321"/>
      <c r="ED208" s="321"/>
      <c r="EE208" s="321"/>
      <c r="EF208" s="321"/>
      <c r="EG208" s="321"/>
      <c r="EH208" s="321"/>
      <c r="EI208" s="321"/>
      <c r="EJ208" s="321"/>
      <c r="EK208" s="321"/>
      <c r="EL208" s="321"/>
      <c r="EM208" s="321"/>
      <c r="EN208" s="321"/>
      <c r="EO208" s="321"/>
      <c r="EP208" s="321"/>
      <c r="EQ208" s="321"/>
      <c r="ER208" s="321"/>
      <c r="ES208" s="321"/>
      <c r="ET208" s="321"/>
      <c r="EU208" s="321"/>
      <c r="EV208" s="321"/>
      <c r="EW208" s="321"/>
      <c r="EX208" s="321"/>
      <c r="EY208" s="321"/>
      <c r="EZ208" s="321"/>
      <c r="FA208" s="321"/>
      <c r="FB208" s="321"/>
      <c r="FC208" s="321"/>
      <c r="FD208" s="321"/>
      <c r="FE208" s="321"/>
      <c r="FF208" s="321"/>
      <c r="FG208" s="321"/>
      <c r="FH208" s="321"/>
      <c r="FI208" s="321"/>
      <c r="FJ208" s="321"/>
      <c r="FK208" s="321"/>
      <c r="FL208" s="321"/>
      <c r="FM208" s="321"/>
      <c r="FN208" s="321"/>
      <c r="FO208" s="321"/>
      <c r="FP208" s="321"/>
      <c r="FQ208" s="321"/>
      <c r="FR208" s="321"/>
      <c r="FS208" s="321"/>
      <c r="FT208" s="321"/>
      <c r="FU208" s="321"/>
      <c r="FV208" s="321"/>
      <c r="FW208" s="321"/>
      <c r="FX208" s="321"/>
      <c r="FY208" s="321"/>
      <c r="FZ208" s="321"/>
      <c r="GA208" s="321"/>
      <c r="GB208" s="321"/>
      <c r="GC208" s="321"/>
      <c r="GD208" s="321"/>
      <c r="GE208" s="321"/>
      <c r="GF208" s="321"/>
      <c r="GG208" s="321"/>
      <c r="GH208" s="321"/>
      <c r="GI208" s="321"/>
      <c r="GJ208" s="321"/>
      <c r="GK208" s="321"/>
      <c r="GL208" s="321"/>
      <c r="GM208" s="321"/>
      <c r="GN208" s="321"/>
      <c r="GO208" s="321"/>
      <c r="GP208" s="321"/>
      <c r="GQ208" s="321"/>
      <c r="GR208" s="321"/>
      <c r="GS208" s="321"/>
      <c r="GT208" s="321"/>
      <c r="GU208" s="321"/>
      <c r="GV208" s="321"/>
      <c r="GW208" s="321"/>
      <c r="GX208" s="321"/>
      <c r="GY208" s="321"/>
      <c r="GZ208" s="321"/>
      <c r="HA208" s="321"/>
      <c r="HB208" s="321"/>
      <c r="HC208" s="321"/>
      <c r="HD208" s="321"/>
      <c r="HE208" s="321"/>
      <c r="HF208" s="321"/>
      <c r="HG208" s="321"/>
      <c r="HH208" s="321"/>
      <c r="HI208" s="321"/>
      <c r="HJ208" s="321"/>
      <c r="HK208" s="321"/>
      <c r="HL208" s="321"/>
      <c r="HM208" s="321"/>
      <c r="HN208" s="321"/>
      <c r="HO208" s="321"/>
      <c r="HP208" s="321"/>
      <c r="HQ208" s="321"/>
      <c r="HR208" s="321"/>
      <c r="HS208" s="321"/>
      <c r="HT208" s="321"/>
      <c r="HU208" s="321"/>
      <c r="HV208" s="321"/>
      <c r="HW208" s="321"/>
      <c r="HX208" s="321"/>
      <c r="HY208" s="321"/>
      <c r="HZ208" s="321"/>
      <c r="IA208" s="321"/>
      <c r="IB208" s="321"/>
      <c r="IC208" s="321"/>
      <c r="ID208" s="321"/>
      <c r="IE208" s="321"/>
      <c r="IF208" s="321"/>
    </row>
    <row r="209" spans="1:240" ht="15" customHeight="1">
      <c r="A209" s="748" t="s">
        <v>701</v>
      </c>
      <c r="B209" s="748"/>
      <c r="C209" s="748"/>
      <c r="D209" s="748"/>
      <c r="E209" s="748"/>
      <c r="F209" s="748"/>
      <c r="G209" s="352" t="s">
        <v>702</v>
      </c>
      <c r="H209" s="323">
        <v>0</v>
      </c>
      <c r="I209" s="323">
        <v>0</v>
      </c>
      <c r="J209" s="327">
        <v>0</v>
      </c>
      <c r="K209" s="323" t="s">
        <v>700</v>
      </c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1"/>
      <c r="AB209" s="321"/>
      <c r="AC209" s="321"/>
      <c r="AD209" s="321"/>
      <c r="AE209" s="321"/>
      <c r="AF209" s="321"/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  <c r="AX209" s="321"/>
      <c r="AY209" s="321"/>
      <c r="AZ209" s="321"/>
      <c r="BA209" s="321"/>
      <c r="BB209" s="321"/>
      <c r="BC209" s="321"/>
      <c r="BD209" s="321"/>
      <c r="BE209" s="321"/>
      <c r="BF209" s="321"/>
      <c r="BG209" s="321"/>
      <c r="BH209" s="321"/>
      <c r="BI209" s="321"/>
      <c r="BJ209" s="321"/>
      <c r="BK209" s="321"/>
      <c r="BL209" s="321"/>
      <c r="BM209" s="321"/>
      <c r="BN209" s="321"/>
      <c r="BO209" s="321"/>
      <c r="BP209" s="321"/>
      <c r="BQ209" s="321"/>
      <c r="BR209" s="321"/>
      <c r="BS209" s="321"/>
      <c r="BT209" s="321"/>
      <c r="BU209" s="321"/>
      <c r="BV209" s="321"/>
      <c r="BW209" s="321"/>
      <c r="BX209" s="321"/>
      <c r="BY209" s="321"/>
      <c r="BZ209" s="321"/>
      <c r="CA209" s="321"/>
      <c r="CB209" s="321"/>
      <c r="CC209" s="321"/>
      <c r="CD209" s="321"/>
      <c r="CE209" s="321"/>
      <c r="CF209" s="321"/>
      <c r="CG209" s="321"/>
      <c r="CH209" s="321"/>
      <c r="CI209" s="321"/>
      <c r="CJ209" s="321"/>
      <c r="CK209" s="321"/>
      <c r="CL209" s="321"/>
      <c r="CM209" s="321"/>
      <c r="CN209" s="321"/>
      <c r="CO209" s="321"/>
      <c r="CP209" s="321"/>
      <c r="CQ209" s="321"/>
      <c r="CR209" s="321"/>
      <c r="CS209" s="321"/>
      <c r="CT209" s="321"/>
      <c r="CU209" s="321"/>
      <c r="CV209" s="321"/>
      <c r="CW209" s="321"/>
      <c r="CX209" s="321"/>
      <c r="CY209" s="321"/>
      <c r="CZ209" s="321"/>
      <c r="DA209" s="321"/>
      <c r="DB209" s="321"/>
      <c r="DC209" s="321"/>
      <c r="DD209" s="321"/>
      <c r="DE209" s="321"/>
      <c r="DF209" s="321"/>
      <c r="DG209" s="321"/>
      <c r="DH209" s="321"/>
      <c r="DI209" s="321"/>
      <c r="DJ209" s="321"/>
      <c r="DK209" s="321"/>
      <c r="DL209" s="321"/>
      <c r="DM209" s="321"/>
      <c r="DN209" s="321"/>
      <c r="DO209" s="321"/>
      <c r="DP209" s="321"/>
      <c r="DQ209" s="321"/>
      <c r="DR209" s="321"/>
      <c r="DS209" s="321"/>
      <c r="DT209" s="321"/>
      <c r="DU209" s="321"/>
      <c r="DV209" s="321"/>
      <c r="DW209" s="321"/>
      <c r="DX209" s="321"/>
      <c r="DY209" s="321"/>
      <c r="DZ209" s="321"/>
      <c r="EA209" s="321"/>
      <c r="EB209" s="321"/>
      <c r="EC209" s="321"/>
      <c r="ED209" s="321"/>
      <c r="EE209" s="321"/>
      <c r="EF209" s="321"/>
      <c r="EG209" s="321"/>
      <c r="EH209" s="321"/>
      <c r="EI209" s="321"/>
      <c r="EJ209" s="321"/>
      <c r="EK209" s="321"/>
      <c r="EL209" s="321"/>
      <c r="EM209" s="321"/>
      <c r="EN209" s="321"/>
      <c r="EO209" s="321"/>
      <c r="EP209" s="321"/>
      <c r="EQ209" s="321"/>
      <c r="ER209" s="321"/>
      <c r="ES209" s="321"/>
      <c r="ET209" s="321"/>
      <c r="EU209" s="321"/>
      <c r="EV209" s="321"/>
      <c r="EW209" s="321"/>
      <c r="EX209" s="321"/>
      <c r="EY209" s="321"/>
      <c r="EZ209" s="321"/>
      <c r="FA209" s="321"/>
      <c r="FB209" s="321"/>
      <c r="FC209" s="321"/>
      <c r="FD209" s="321"/>
      <c r="FE209" s="321"/>
      <c r="FF209" s="321"/>
      <c r="FG209" s="321"/>
      <c r="FH209" s="321"/>
      <c r="FI209" s="321"/>
      <c r="FJ209" s="321"/>
      <c r="FK209" s="321"/>
      <c r="FL209" s="321"/>
      <c r="FM209" s="321"/>
      <c r="FN209" s="321"/>
      <c r="FO209" s="321"/>
      <c r="FP209" s="321"/>
      <c r="FQ209" s="321"/>
      <c r="FR209" s="321"/>
      <c r="FS209" s="321"/>
      <c r="FT209" s="321"/>
      <c r="FU209" s="321"/>
      <c r="FV209" s="321"/>
      <c r="FW209" s="321"/>
      <c r="FX209" s="321"/>
      <c r="FY209" s="321"/>
      <c r="FZ209" s="321"/>
      <c r="GA209" s="321"/>
      <c r="GB209" s="321"/>
      <c r="GC209" s="321"/>
      <c r="GD209" s="321"/>
      <c r="GE209" s="321"/>
      <c r="GF209" s="321"/>
      <c r="GG209" s="321"/>
      <c r="GH209" s="321"/>
      <c r="GI209" s="321"/>
      <c r="GJ209" s="321"/>
      <c r="GK209" s="321"/>
      <c r="GL209" s="321"/>
      <c r="GM209" s="321"/>
      <c r="GN209" s="321"/>
      <c r="GO209" s="321"/>
      <c r="GP209" s="321"/>
      <c r="GQ209" s="321"/>
      <c r="GR209" s="321"/>
      <c r="GS209" s="321"/>
      <c r="GT209" s="321"/>
      <c r="GU209" s="321"/>
      <c r="GV209" s="321"/>
      <c r="GW209" s="321"/>
      <c r="GX209" s="321"/>
      <c r="GY209" s="321"/>
      <c r="GZ209" s="321"/>
      <c r="HA209" s="321"/>
      <c r="HB209" s="321"/>
      <c r="HC209" s="321"/>
      <c r="HD209" s="321"/>
      <c r="HE209" s="321"/>
      <c r="HF209" s="321"/>
      <c r="HG209" s="321"/>
      <c r="HH209" s="321"/>
      <c r="HI209" s="321"/>
      <c r="HJ209" s="321"/>
      <c r="HK209" s="321"/>
      <c r="HL209" s="321"/>
      <c r="HM209" s="321"/>
      <c r="HN209" s="321"/>
      <c r="HO209" s="321"/>
      <c r="HP209" s="321"/>
      <c r="HQ209" s="321"/>
      <c r="HR209" s="321"/>
      <c r="HS209" s="321"/>
      <c r="HT209" s="321"/>
      <c r="HU209" s="321"/>
      <c r="HV209" s="321"/>
      <c r="HW209" s="321"/>
      <c r="HX209" s="321"/>
      <c r="HY209" s="321"/>
      <c r="HZ209" s="321"/>
      <c r="IA209" s="321"/>
      <c r="IB209" s="321"/>
      <c r="IC209" s="321"/>
      <c r="ID209" s="321"/>
      <c r="IE209" s="321"/>
      <c r="IF209" s="321"/>
    </row>
    <row r="210" spans="1:240" ht="15" customHeight="1">
      <c r="A210" s="748" t="s">
        <v>703</v>
      </c>
      <c r="B210" s="748"/>
      <c r="C210" s="748"/>
      <c r="D210" s="748"/>
      <c r="E210" s="748"/>
      <c r="F210" s="748"/>
      <c r="G210" s="352" t="s">
        <v>529</v>
      </c>
      <c r="H210" s="322">
        <f>H211+H86+H19</f>
        <v>70.47</v>
      </c>
      <c r="I210" s="324">
        <f>I211+I86+I19</f>
        <v>307</v>
      </c>
      <c r="J210" s="322">
        <f>J211+J86+J19</f>
        <v>5069.44</v>
      </c>
      <c r="K210" s="323" t="s">
        <v>698</v>
      </c>
      <c r="L210" s="325" t="s">
        <v>512</v>
      </c>
      <c r="M210" s="326">
        <f>M211+M86+M19</f>
        <v>653.9200000000001</v>
      </c>
      <c r="N210" s="326">
        <f>N211+N86+N19</f>
        <v>12754.919800000001</v>
      </c>
      <c r="O210" s="321" t="s">
        <v>513</v>
      </c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  <c r="AX210" s="321"/>
      <c r="AY210" s="321"/>
      <c r="AZ210" s="321"/>
      <c r="BA210" s="321"/>
      <c r="BB210" s="321"/>
      <c r="BC210" s="321"/>
      <c r="BD210" s="321"/>
      <c r="BE210" s="321"/>
      <c r="BF210" s="321"/>
      <c r="BG210" s="321"/>
      <c r="BH210" s="321"/>
      <c r="BI210" s="321"/>
      <c r="BJ210" s="321"/>
      <c r="BK210" s="321"/>
      <c r="BL210" s="321"/>
      <c r="BM210" s="321"/>
      <c r="BN210" s="321"/>
      <c r="BO210" s="321"/>
      <c r="BP210" s="321"/>
      <c r="BQ210" s="321"/>
      <c r="BR210" s="321"/>
      <c r="BS210" s="321"/>
      <c r="BT210" s="321"/>
      <c r="BU210" s="321"/>
      <c r="BV210" s="321"/>
      <c r="BW210" s="321"/>
      <c r="BX210" s="321"/>
      <c r="BY210" s="321"/>
      <c r="BZ210" s="321"/>
      <c r="CA210" s="321"/>
      <c r="CB210" s="321"/>
      <c r="CC210" s="321"/>
      <c r="CD210" s="321"/>
      <c r="CE210" s="321"/>
      <c r="CF210" s="321"/>
      <c r="CG210" s="321"/>
      <c r="CH210" s="321"/>
      <c r="CI210" s="321"/>
      <c r="CJ210" s="321"/>
      <c r="CK210" s="321"/>
      <c r="CL210" s="321"/>
      <c r="CM210" s="321"/>
      <c r="CN210" s="321"/>
      <c r="CO210" s="321"/>
      <c r="CP210" s="321"/>
      <c r="CQ210" s="321"/>
      <c r="CR210" s="321"/>
      <c r="CS210" s="321"/>
      <c r="CT210" s="321"/>
      <c r="CU210" s="321"/>
      <c r="CV210" s="321"/>
      <c r="CW210" s="321"/>
      <c r="CX210" s="321"/>
      <c r="CY210" s="321"/>
      <c r="CZ210" s="321"/>
      <c r="DA210" s="321"/>
      <c r="DB210" s="321"/>
      <c r="DC210" s="321"/>
      <c r="DD210" s="321"/>
      <c r="DE210" s="321"/>
      <c r="DF210" s="321"/>
      <c r="DG210" s="321"/>
      <c r="DH210" s="321"/>
      <c r="DI210" s="321"/>
      <c r="DJ210" s="321"/>
      <c r="DK210" s="321"/>
      <c r="DL210" s="321"/>
      <c r="DM210" s="321"/>
      <c r="DN210" s="321"/>
      <c r="DO210" s="321"/>
      <c r="DP210" s="321"/>
      <c r="DQ210" s="321"/>
      <c r="DR210" s="321"/>
      <c r="DS210" s="321"/>
      <c r="DT210" s="321"/>
      <c r="DU210" s="321"/>
      <c r="DV210" s="321"/>
      <c r="DW210" s="321"/>
      <c r="DX210" s="321"/>
      <c r="DY210" s="321"/>
      <c r="DZ210" s="321"/>
      <c r="EA210" s="321"/>
      <c r="EB210" s="321"/>
      <c r="EC210" s="321"/>
      <c r="ED210" s="321"/>
      <c r="EE210" s="321"/>
      <c r="EF210" s="321"/>
      <c r="EG210" s="321"/>
      <c r="EH210" s="321"/>
      <c r="EI210" s="321"/>
      <c r="EJ210" s="321"/>
      <c r="EK210" s="321"/>
      <c r="EL210" s="321"/>
      <c r="EM210" s="321"/>
      <c r="EN210" s="321"/>
      <c r="EO210" s="321"/>
      <c r="EP210" s="321"/>
      <c r="EQ210" s="321"/>
      <c r="ER210" s="321"/>
      <c r="ES210" s="321"/>
      <c r="ET210" s="321"/>
      <c r="EU210" s="321"/>
      <c r="EV210" s="321"/>
      <c r="EW210" s="321"/>
      <c r="EX210" s="321"/>
      <c r="EY210" s="321"/>
      <c r="EZ210" s="321"/>
      <c r="FA210" s="321"/>
      <c r="FB210" s="321"/>
      <c r="FC210" s="321"/>
      <c r="FD210" s="321"/>
      <c r="FE210" s="321"/>
      <c r="FF210" s="321"/>
      <c r="FG210" s="321"/>
      <c r="FH210" s="321"/>
      <c r="FI210" s="321"/>
      <c r="FJ210" s="321"/>
      <c r="FK210" s="321"/>
      <c r="FL210" s="321"/>
      <c r="FM210" s="321"/>
      <c r="FN210" s="321"/>
      <c r="FO210" s="321"/>
      <c r="FP210" s="321"/>
      <c r="FQ210" s="321"/>
      <c r="FR210" s="321"/>
      <c r="FS210" s="321"/>
      <c r="FT210" s="321"/>
      <c r="FU210" s="321"/>
      <c r="FV210" s="321"/>
      <c r="FW210" s="321"/>
      <c r="FX210" s="321"/>
      <c r="FY210" s="321"/>
      <c r="FZ210" s="321"/>
      <c r="GA210" s="321"/>
      <c r="GB210" s="321"/>
      <c r="GC210" s="321"/>
      <c r="GD210" s="321"/>
      <c r="GE210" s="321"/>
      <c r="GF210" s="321"/>
      <c r="GG210" s="321"/>
      <c r="GH210" s="321"/>
      <c r="GI210" s="321"/>
      <c r="GJ210" s="321"/>
      <c r="GK210" s="321"/>
      <c r="GL210" s="321"/>
      <c r="GM210" s="321"/>
      <c r="GN210" s="321"/>
      <c r="GO210" s="321"/>
      <c r="GP210" s="321"/>
      <c r="GQ210" s="321"/>
      <c r="GR210" s="321"/>
      <c r="GS210" s="321"/>
      <c r="GT210" s="321"/>
      <c r="GU210" s="321"/>
      <c r="GV210" s="321"/>
      <c r="GW210" s="321"/>
      <c r="GX210" s="321"/>
      <c r="GY210" s="321"/>
      <c r="GZ210" s="321"/>
      <c r="HA210" s="321"/>
      <c r="HB210" s="321"/>
      <c r="HC210" s="321"/>
      <c r="HD210" s="321"/>
      <c r="HE210" s="321"/>
      <c r="HF210" s="321"/>
      <c r="HG210" s="321"/>
      <c r="HH210" s="321"/>
      <c r="HI210" s="321"/>
      <c r="HJ210" s="321"/>
      <c r="HK210" s="321"/>
      <c r="HL210" s="321"/>
      <c r="HM210" s="321"/>
      <c r="HN210" s="321"/>
      <c r="HO210" s="321"/>
      <c r="HP210" s="321"/>
      <c r="HQ210" s="321"/>
      <c r="HR210" s="321"/>
      <c r="HS210" s="321"/>
      <c r="HT210" s="321"/>
      <c r="HU210" s="321"/>
      <c r="HV210" s="321"/>
      <c r="HW210" s="321"/>
      <c r="HX210" s="321"/>
      <c r="HY210" s="321"/>
      <c r="HZ210" s="321"/>
      <c r="IA210" s="321"/>
      <c r="IB210" s="321"/>
      <c r="IC210" s="321"/>
      <c r="ID210" s="321"/>
      <c r="IE210" s="321"/>
      <c r="IF210" s="321"/>
    </row>
    <row r="211" spans="1:240" ht="15" customHeight="1">
      <c r="A211" s="748" t="s">
        <v>709</v>
      </c>
      <c r="B211" s="748"/>
      <c r="C211" s="748"/>
      <c r="D211" s="748"/>
      <c r="E211" s="748"/>
      <c r="F211" s="748"/>
      <c r="G211" s="352" t="s">
        <v>516</v>
      </c>
      <c r="H211" s="322">
        <f>H9+H11+H46+H47+H48+H69+H70+H85+H123+H188</f>
        <v>25.89</v>
      </c>
      <c r="I211" s="324">
        <f>I9+I11+I46+I47+I48+I69+I70+I85+I123+I188</f>
        <v>291</v>
      </c>
      <c r="J211" s="322">
        <f>J9+J11+J46+J47+J48+J69+J70+J85+J123+J188</f>
        <v>4483.44</v>
      </c>
      <c r="K211" s="323" t="s">
        <v>705</v>
      </c>
      <c r="L211" s="325" t="s">
        <v>512</v>
      </c>
      <c r="M211" s="326">
        <f>M9+M11+M46+M47+M48+M69+M70+M85+M123+M188</f>
        <v>597.72</v>
      </c>
      <c r="N211" s="326">
        <f>N9+N11+N46+N47+N48+N69+N70+N85+N123+N188</f>
        <v>9693.339800000002</v>
      </c>
      <c r="O211" s="321" t="s">
        <v>513</v>
      </c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  <c r="AX211" s="321"/>
      <c r="AY211" s="321"/>
      <c r="AZ211" s="321"/>
      <c r="BA211" s="321"/>
      <c r="BB211" s="321"/>
      <c r="BC211" s="321"/>
      <c r="BD211" s="321"/>
      <c r="BE211" s="321"/>
      <c r="BF211" s="321"/>
      <c r="BG211" s="321"/>
      <c r="BH211" s="321"/>
      <c r="BI211" s="321"/>
      <c r="BJ211" s="321"/>
      <c r="BK211" s="321"/>
      <c r="BL211" s="321"/>
      <c r="BM211" s="321"/>
      <c r="BN211" s="321"/>
      <c r="BO211" s="321"/>
      <c r="BP211" s="321"/>
      <c r="BQ211" s="321"/>
      <c r="BR211" s="321"/>
      <c r="BS211" s="321"/>
      <c r="BT211" s="321"/>
      <c r="BU211" s="321"/>
      <c r="BV211" s="321"/>
      <c r="BW211" s="321"/>
      <c r="BX211" s="321"/>
      <c r="BY211" s="321"/>
      <c r="BZ211" s="321"/>
      <c r="CA211" s="321"/>
      <c r="CB211" s="321"/>
      <c r="CC211" s="321"/>
      <c r="CD211" s="321"/>
      <c r="CE211" s="321"/>
      <c r="CF211" s="321"/>
      <c r="CG211" s="321"/>
      <c r="CH211" s="321"/>
      <c r="CI211" s="321"/>
      <c r="CJ211" s="321"/>
      <c r="CK211" s="321"/>
      <c r="CL211" s="321"/>
      <c r="CM211" s="321"/>
      <c r="CN211" s="321"/>
      <c r="CO211" s="321"/>
      <c r="CP211" s="321"/>
      <c r="CQ211" s="321"/>
      <c r="CR211" s="321"/>
      <c r="CS211" s="321"/>
      <c r="CT211" s="321"/>
      <c r="CU211" s="321"/>
      <c r="CV211" s="321"/>
      <c r="CW211" s="321"/>
      <c r="CX211" s="321"/>
      <c r="CY211" s="321"/>
      <c r="CZ211" s="321"/>
      <c r="DA211" s="321"/>
      <c r="DB211" s="321"/>
      <c r="DC211" s="321"/>
      <c r="DD211" s="321"/>
      <c r="DE211" s="321"/>
      <c r="DF211" s="321"/>
      <c r="DG211" s="321"/>
      <c r="DH211" s="321"/>
      <c r="DI211" s="321"/>
      <c r="DJ211" s="321"/>
      <c r="DK211" s="321"/>
      <c r="DL211" s="321"/>
      <c r="DM211" s="321"/>
      <c r="DN211" s="321"/>
      <c r="DO211" s="321"/>
      <c r="DP211" s="321"/>
      <c r="DQ211" s="321"/>
      <c r="DR211" s="321"/>
      <c r="DS211" s="321"/>
      <c r="DT211" s="321"/>
      <c r="DU211" s="321"/>
      <c r="DV211" s="321"/>
      <c r="DW211" s="321"/>
      <c r="DX211" s="321"/>
      <c r="DY211" s="321"/>
      <c r="DZ211" s="321"/>
      <c r="EA211" s="321"/>
      <c r="EB211" s="321"/>
      <c r="EC211" s="321"/>
      <c r="ED211" s="321"/>
      <c r="EE211" s="321"/>
      <c r="EF211" s="321"/>
      <c r="EG211" s="321"/>
      <c r="EH211" s="321"/>
      <c r="EI211" s="321"/>
      <c r="EJ211" s="321"/>
      <c r="EK211" s="321"/>
      <c r="EL211" s="321"/>
      <c r="EM211" s="321"/>
      <c r="EN211" s="321"/>
      <c r="EO211" s="321"/>
      <c r="EP211" s="321"/>
      <c r="EQ211" s="321"/>
      <c r="ER211" s="321"/>
      <c r="ES211" s="321"/>
      <c r="ET211" s="321"/>
      <c r="EU211" s="321"/>
      <c r="EV211" s="321"/>
      <c r="EW211" s="321"/>
      <c r="EX211" s="321"/>
      <c r="EY211" s="321"/>
      <c r="EZ211" s="321"/>
      <c r="FA211" s="321"/>
      <c r="FB211" s="321"/>
      <c r="FC211" s="321"/>
      <c r="FD211" s="321"/>
      <c r="FE211" s="321"/>
      <c r="FF211" s="321"/>
      <c r="FG211" s="321"/>
      <c r="FH211" s="321"/>
      <c r="FI211" s="321"/>
      <c r="FJ211" s="321"/>
      <c r="FK211" s="321"/>
      <c r="FL211" s="321"/>
      <c r="FM211" s="321"/>
      <c r="FN211" s="321"/>
      <c r="FO211" s="321"/>
      <c r="FP211" s="321"/>
      <c r="FQ211" s="321"/>
      <c r="FR211" s="321"/>
      <c r="FS211" s="321"/>
      <c r="FT211" s="321"/>
      <c r="FU211" s="321"/>
      <c r="FV211" s="321"/>
      <c r="FW211" s="321"/>
      <c r="FX211" s="321"/>
      <c r="FY211" s="321"/>
      <c r="FZ211" s="321"/>
      <c r="GA211" s="321"/>
      <c r="GB211" s="321"/>
      <c r="GC211" s="321"/>
      <c r="GD211" s="321"/>
      <c r="GE211" s="321"/>
      <c r="GF211" s="321"/>
      <c r="GG211" s="321"/>
      <c r="GH211" s="321"/>
      <c r="GI211" s="321"/>
      <c r="GJ211" s="321"/>
      <c r="GK211" s="321"/>
      <c r="GL211" s="321"/>
      <c r="GM211" s="321"/>
      <c r="GN211" s="321"/>
      <c r="GO211" s="321"/>
      <c r="GP211" s="321"/>
      <c r="GQ211" s="321"/>
      <c r="GR211" s="321"/>
      <c r="GS211" s="321"/>
      <c r="GT211" s="321"/>
      <c r="GU211" s="321"/>
      <c r="GV211" s="321"/>
      <c r="GW211" s="321"/>
      <c r="GX211" s="321"/>
      <c r="GY211" s="321"/>
      <c r="GZ211" s="321"/>
      <c r="HA211" s="321"/>
      <c r="HB211" s="321"/>
      <c r="HC211" s="321"/>
      <c r="HD211" s="321"/>
      <c r="HE211" s="321"/>
      <c r="HF211" s="321"/>
      <c r="HG211" s="321"/>
      <c r="HH211" s="321"/>
      <c r="HI211" s="321"/>
      <c r="HJ211" s="321"/>
      <c r="HK211" s="321"/>
      <c r="HL211" s="321"/>
      <c r="HM211" s="321"/>
      <c r="HN211" s="321"/>
      <c r="HO211" s="321"/>
      <c r="HP211" s="321"/>
      <c r="HQ211" s="321"/>
      <c r="HR211" s="321"/>
      <c r="HS211" s="321"/>
      <c r="HT211" s="321"/>
      <c r="HU211" s="321"/>
      <c r="HV211" s="321"/>
      <c r="HW211" s="321"/>
      <c r="HX211" s="321"/>
      <c r="HY211" s="321"/>
      <c r="HZ211" s="321"/>
      <c r="IA211" s="321"/>
      <c r="IB211" s="321"/>
      <c r="IC211" s="321"/>
      <c r="ID211" s="321"/>
      <c r="IE211" s="321"/>
      <c r="IF211" s="321"/>
    </row>
    <row r="212" spans="1:240" ht="15" customHeight="1">
      <c r="A212" s="749" t="s">
        <v>706</v>
      </c>
      <c r="B212" s="749"/>
      <c r="C212" s="749"/>
      <c r="D212" s="749"/>
      <c r="E212" s="749"/>
      <c r="F212" s="749"/>
      <c r="G212" s="353" t="s">
        <v>697</v>
      </c>
      <c r="H212" s="328">
        <f>SUM(H213:H215)</f>
        <v>627.6300000000001</v>
      </c>
      <c r="I212" s="330">
        <f>SUM(I213:I215)</f>
        <v>458</v>
      </c>
      <c r="J212" s="328">
        <f>SUM(J213:J215)</f>
        <v>7255.629999999999</v>
      </c>
      <c r="K212" s="329" t="s">
        <v>698</v>
      </c>
      <c r="L212" s="331" t="s">
        <v>512</v>
      </c>
      <c r="M212" s="332">
        <f>M213+M215</f>
        <v>2124.18</v>
      </c>
      <c r="N212" s="332">
        <f>N213+N215</f>
        <v>35526.11000000001</v>
      </c>
      <c r="O212" s="333" t="s">
        <v>513</v>
      </c>
      <c r="P212" s="319"/>
      <c r="Q212" s="320"/>
      <c r="R212" s="321"/>
      <c r="S212" s="320"/>
      <c r="T212" s="321"/>
      <c r="U212" s="321"/>
      <c r="V212" s="321"/>
      <c r="W212" s="321"/>
      <c r="X212" s="321"/>
      <c r="Y212" s="321"/>
      <c r="Z212" s="321"/>
      <c r="AA212" s="321"/>
      <c r="AB212" s="321"/>
      <c r="AC212" s="321"/>
      <c r="AD212" s="321"/>
      <c r="AE212" s="321"/>
      <c r="AF212" s="321"/>
      <c r="AG212" s="321"/>
      <c r="AH212" s="321"/>
      <c r="AI212" s="321"/>
      <c r="AJ212" s="321"/>
      <c r="AK212" s="321"/>
      <c r="AL212" s="321"/>
      <c r="AM212" s="321"/>
      <c r="AN212" s="321"/>
      <c r="AO212" s="321"/>
      <c r="AP212" s="321"/>
      <c r="AQ212" s="321"/>
      <c r="AR212" s="321"/>
      <c r="AS212" s="321"/>
      <c r="AT212" s="321"/>
      <c r="AU212" s="321"/>
      <c r="AV212" s="321"/>
      <c r="AW212" s="321"/>
      <c r="AX212" s="321"/>
      <c r="AY212" s="321"/>
      <c r="AZ212" s="321"/>
      <c r="BA212" s="321"/>
      <c r="BB212" s="321"/>
      <c r="BC212" s="321"/>
      <c r="BD212" s="321"/>
      <c r="BE212" s="321"/>
      <c r="BF212" s="321"/>
      <c r="BG212" s="321"/>
      <c r="BH212" s="321"/>
      <c r="BI212" s="321"/>
      <c r="BJ212" s="321"/>
      <c r="BK212" s="321"/>
      <c r="BL212" s="321"/>
      <c r="BM212" s="321"/>
      <c r="BN212" s="321"/>
      <c r="BO212" s="321"/>
      <c r="BP212" s="321"/>
      <c r="BQ212" s="321"/>
      <c r="BR212" s="321"/>
      <c r="BS212" s="321"/>
      <c r="BT212" s="321"/>
      <c r="BU212" s="321"/>
      <c r="BV212" s="321"/>
      <c r="BW212" s="321"/>
      <c r="BX212" s="321"/>
      <c r="BY212" s="321"/>
      <c r="BZ212" s="321"/>
      <c r="CA212" s="321"/>
      <c r="CB212" s="321"/>
      <c r="CC212" s="321"/>
      <c r="CD212" s="321"/>
      <c r="CE212" s="321"/>
      <c r="CF212" s="321"/>
      <c r="CG212" s="321"/>
      <c r="CH212" s="321"/>
      <c r="CI212" s="321"/>
      <c r="CJ212" s="321"/>
      <c r="CK212" s="321"/>
      <c r="CL212" s="321"/>
      <c r="CM212" s="321"/>
      <c r="CN212" s="321"/>
      <c r="CO212" s="321"/>
      <c r="CP212" s="321"/>
      <c r="CQ212" s="321"/>
      <c r="CR212" s="321"/>
      <c r="CS212" s="321"/>
      <c r="CT212" s="321"/>
      <c r="CU212" s="321"/>
      <c r="CV212" s="321"/>
      <c r="CW212" s="321"/>
      <c r="CX212" s="321"/>
      <c r="CY212" s="321"/>
      <c r="CZ212" s="321"/>
      <c r="DA212" s="321"/>
      <c r="DB212" s="321"/>
      <c r="DC212" s="321"/>
      <c r="DD212" s="321"/>
      <c r="DE212" s="321"/>
      <c r="DF212" s="321"/>
      <c r="DG212" s="321"/>
      <c r="DH212" s="321"/>
      <c r="DI212" s="321"/>
      <c r="DJ212" s="321"/>
      <c r="DK212" s="321"/>
      <c r="DL212" s="321"/>
      <c r="DM212" s="321"/>
      <c r="DN212" s="321"/>
      <c r="DO212" s="321"/>
      <c r="DP212" s="321"/>
      <c r="DQ212" s="321"/>
      <c r="DR212" s="321"/>
      <c r="DS212" s="321"/>
      <c r="DT212" s="321"/>
      <c r="DU212" s="321"/>
      <c r="DV212" s="321"/>
      <c r="DW212" s="321"/>
      <c r="DX212" s="321"/>
      <c r="DY212" s="321"/>
      <c r="DZ212" s="321"/>
      <c r="EA212" s="321"/>
      <c r="EB212" s="321"/>
      <c r="EC212" s="321"/>
      <c r="ED212" s="321"/>
      <c r="EE212" s="321"/>
      <c r="EF212" s="321"/>
      <c r="EG212" s="321"/>
      <c r="EH212" s="321"/>
      <c r="EI212" s="321"/>
      <c r="EJ212" s="321"/>
      <c r="EK212" s="321"/>
      <c r="EL212" s="321"/>
      <c r="EM212" s="321"/>
      <c r="EN212" s="321"/>
      <c r="EO212" s="321"/>
      <c r="EP212" s="321"/>
      <c r="EQ212" s="321"/>
      <c r="ER212" s="321"/>
      <c r="ES212" s="321"/>
      <c r="ET212" s="321"/>
      <c r="EU212" s="321"/>
      <c r="EV212" s="321"/>
      <c r="EW212" s="321"/>
      <c r="EX212" s="321"/>
      <c r="EY212" s="321"/>
      <c r="EZ212" s="321"/>
      <c r="FA212" s="321"/>
      <c r="FB212" s="321"/>
      <c r="FC212" s="321"/>
      <c r="FD212" s="321"/>
      <c r="FE212" s="321"/>
      <c r="FF212" s="321"/>
      <c r="FG212" s="321"/>
      <c r="FH212" s="321"/>
      <c r="FI212" s="321"/>
      <c r="FJ212" s="321"/>
      <c r="FK212" s="321"/>
      <c r="FL212" s="321"/>
      <c r="FM212" s="321"/>
      <c r="FN212" s="321"/>
      <c r="FO212" s="321"/>
      <c r="FP212" s="321"/>
      <c r="FQ212" s="321"/>
      <c r="FR212" s="321"/>
      <c r="FS212" s="321"/>
      <c r="FT212" s="321"/>
      <c r="FU212" s="321"/>
      <c r="FV212" s="321"/>
      <c r="FW212" s="321"/>
      <c r="FX212" s="321"/>
      <c r="FY212" s="321"/>
      <c r="FZ212" s="321"/>
      <c r="GA212" s="321"/>
      <c r="GB212" s="321"/>
      <c r="GC212" s="321"/>
      <c r="GD212" s="321"/>
      <c r="GE212" s="321"/>
      <c r="GF212" s="321"/>
      <c r="GG212" s="321"/>
      <c r="GH212" s="321"/>
      <c r="GI212" s="321"/>
      <c r="GJ212" s="321"/>
      <c r="GK212" s="321"/>
      <c r="GL212" s="321"/>
      <c r="GM212" s="321"/>
      <c r="GN212" s="321"/>
      <c r="GO212" s="321"/>
      <c r="GP212" s="321"/>
      <c r="GQ212" s="321"/>
      <c r="GR212" s="321"/>
      <c r="GS212" s="321"/>
      <c r="GT212" s="321"/>
      <c r="GU212" s="321"/>
      <c r="GV212" s="321"/>
      <c r="GW212" s="321"/>
      <c r="GX212" s="321"/>
      <c r="GY212" s="321"/>
      <c r="GZ212" s="321"/>
      <c r="HA212" s="321"/>
      <c r="HB212" s="321"/>
      <c r="HC212" s="321"/>
      <c r="HD212" s="321"/>
      <c r="HE212" s="321"/>
      <c r="HF212" s="321"/>
      <c r="HG212" s="321"/>
      <c r="HH212" s="321"/>
      <c r="HI212" s="321"/>
      <c r="HJ212" s="321"/>
      <c r="HK212" s="321"/>
      <c r="HL212" s="321"/>
      <c r="HM212" s="321"/>
      <c r="HN212" s="321"/>
      <c r="HO212" s="321"/>
      <c r="HP212" s="321"/>
      <c r="HQ212" s="321"/>
      <c r="HR212" s="321"/>
      <c r="HS212" s="321"/>
      <c r="HT212" s="321"/>
      <c r="HU212" s="321"/>
      <c r="HV212" s="321"/>
      <c r="HW212" s="321"/>
      <c r="HX212" s="321"/>
      <c r="HY212" s="321"/>
      <c r="HZ212" s="321"/>
      <c r="IA212" s="321"/>
      <c r="IB212" s="321"/>
      <c r="IC212" s="321"/>
      <c r="ID212" s="321"/>
      <c r="IE212" s="321"/>
      <c r="IF212" s="321"/>
    </row>
    <row r="213" spans="1:240" ht="15" customHeight="1">
      <c r="A213" s="752" t="s">
        <v>699</v>
      </c>
      <c r="B213" s="752"/>
      <c r="C213" s="752"/>
      <c r="D213" s="752"/>
      <c r="E213" s="752"/>
      <c r="F213" s="752"/>
      <c r="G213" s="353" t="s">
        <v>522</v>
      </c>
      <c r="H213" s="334">
        <f>H202+H201+H200+H199+H198+H197+H196+H187+H186+H185+H184+H182+H181+H180+H179+H178+H177+H176+H175+H174+H173+H172+H171+H170+H169+H168+H167+H166+H165+H164+H163+H162+H161+H160+H159+H158+H157+H154+H153+H151+H150+H149+H148+H147+H146+H145+H144+H143+H142+H141+H140+H139+H138+H137+H136+H135+H134+H133+H132+H131+H130+H129+H128+H125+H124+H121+H120+H119+H118+H117+H116+H115+H114+H113+H112+H111+H110+H109+H108+H107+H106+H105+H104+H103+H102+H101+H100+H99+H98+H97+H96+H95+H94+H93+H92+H91+H90+H89+H88+H87+H81+H80+H79+H78+H77+H76+H75+H74+H73+H72+H71+H67+H66+H65+H64+H63+H62+H61+H60+H59+H58+H57+H56+H55+H45+H44+H43+H42+H41+H40+H39+H38+H37+H36+H35+H34+H33+H29+H28+H27+H26+H25+H24+H18</f>
        <v>609.2500000000001</v>
      </c>
      <c r="I213" s="336">
        <f>I202+I201+I200+I199+I198+I197+I196+I187+I186+I185+I184+I182+I181+I180+I179+I178+I177+I176+I175+I174+I173+I172+I171+I170+I169+I168+I167+I166+I165+I164+I163+I162+I161+I160+I159+I158+I157+I154+I153+I151+I150+I149+I148+I147+I146+I145+I144+I143+I142+I141+I140+I139+I138+I137+I136+I135+I134+I133+I132+I131+I130+I129+I128+I125+I124+I121+I120+I119+I118+I117+I116+I115+I114+I113+I112+I111+I110+I109+I108+I107+I106+I105+I104+I103+I102+I101+I100+I99+I98+I97+I96+I95+I94+I93+I92+I91+I90+I89+I88+I87+I81+I80+I79+I78+I77+I76+I75+I74+I73+I72+I71+I67+I66+I65+I64+I63+I62+I61+I60+I59+I58+I57+I56+I55+I45+I44+I43+I42+I41+I40+I39+I38+I37+I36+I35+I34+I33+I29+I28+I27+I26+I25+I24+I18</f>
        <v>416</v>
      </c>
      <c r="J213" s="334">
        <f>J202+J201+J200+J199+J198+J197+J196+J187+J186+J185+J184+J182+J181+J180+J179+J178+J177+J176+J175+J174+J173+J172+J171+J170+J169+J168+J167+J166+J165+J164+J163+J162+J161+J160+J159+J158+J157+J154+J153+J151+J150+J149+J148+J147+J146+J145+J144+J143+J142+J141+J140+J139+J138+J137+J136+J135+J134+J133+J132+J131+J130+J129+J128+J125+J124+J121+J120+J119+J118+J117+J116+J115+J114+J113+J112+J111+J110+J109+J108+J107+J106+J105+J104+J103+J102+J101+J100+J99+J98+J97+J96+J95+J94+J93+J92+J91+J90+J89+J88+J87+J81+J80+J79+J78+J77+J76+J75+J74+J73+J72+J71+J67+J66+J65+J64+J63+J62+J61+J60+J59+J58+J57+J56+J55+J45+J44+J43+J42+J41+J40+J39+J38+J37+J36+J35+J34+J33+J29+J28+J27+J26+J25+J24+J18</f>
        <v>6710.65</v>
      </c>
      <c r="K213" s="335" t="s">
        <v>700</v>
      </c>
      <c r="L213" s="325" t="s">
        <v>512</v>
      </c>
      <c r="M213" s="337">
        <f>M202+M201+M200+M199+M198+M197+M196+M187+M186+M185+M184+M182+M181+M180+M179+M178+M177+M176+M175+M174+M173+M172+M171+M170+M169+M168+M167+M166+M165+M164+M163+M162+M161+M160+M159+M158+M157+M154+M153+M151+M150+M149+M148+M147+M146+M145+M144+M143+M142+M141+M140+M139+M138+M137+M136+M135+M134+M133+M132+M131+M130+M129+M128+M125+M124+M121+M120+M119+M118+M117+M116+M115+M114+M113+M112+M111+M110+M109+M108+M107+M106+M105+M104+M103+M102+M101+M100+M99+M98+M97+M96+M95+M94+M93+M92+M91+M90+M89+M88+M87+M81+M80+M79+M78+M77+M76+M75+M74+M73+M72+M71+M67+M66+M65+M64+M63+M62+M61+M60+M59+M58+M57+M56+M55+M45+M44+M43+M42+M41+M40+M39+M38+M37+M36+M35+M34+M33+M29+M28+M27+M26+M25+M24+M18</f>
        <v>2084.21</v>
      </c>
      <c r="N213" s="337">
        <f>N202+N201+N200+N199+N198+N197+N196+N187+N186+N185+N184+N182+N181+N180+N179+N178+N177+N176+N175+N174+N173+N172+N171+N170+N169+N168+N167+N166+N165+N164+N163+N162+N161+N160+N159+N158+N157+N154+N153+N151+N150+N149+N148+N147+N146+N145+N144+N143+N142+N141+N140+N139+N138+N137+N136+N135+N134+N133+N132+N131+N130+N129+N128+N125+N124+N121+N120+N119+N118+N117+N116+N115+N114+N113+N112+N111+N110+N109+N108+N107+N106+N105+N104+N103+N102+N101+N100+N99+N98+N97+N96+N95+N94+N93+N92+N91+N90+N89+N88+N87+N81+N80+N79+N78+N77+N76+N75+N74+N73+N72+N71+N67+N66+N65+N64+N63+N62+N61+N60+N59+N58+N57+N56+N55+N45+N44+N43+N42+N41+N40+N39+N38+N37+N36+N35+N34+N33+N29+N28+N27+N26+N25+N24+N18</f>
        <v>34936.81420000001</v>
      </c>
      <c r="O213" s="321" t="s">
        <v>513</v>
      </c>
      <c r="P213" s="321"/>
      <c r="Q213" s="321"/>
      <c r="R213" s="321"/>
      <c r="S213" s="321"/>
      <c r="T213" s="321"/>
      <c r="U213" s="321"/>
      <c r="V213" s="321"/>
      <c r="W213" s="321"/>
      <c r="X213" s="321"/>
      <c r="Y213" s="321"/>
      <c r="Z213" s="321"/>
      <c r="AA213" s="321"/>
      <c r="AB213" s="321"/>
      <c r="AC213" s="321"/>
      <c r="AD213" s="321"/>
      <c r="AE213" s="321"/>
      <c r="AF213" s="321"/>
      <c r="AG213" s="321"/>
      <c r="AH213" s="321"/>
      <c r="AI213" s="321"/>
      <c r="AJ213" s="321"/>
      <c r="AK213" s="321"/>
      <c r="AL213" s="321"/>
      <c r="AM213" s="321"/>
      <c r="AN213" s="321"/>
      <c r="AO213" s="321"/>
      <c r="AP213" s="321"/>
      <c r="AQ213" s="321"/>
      <c r="AR213" s="321"/>
      <c r="AS213" s="321"/>
      <c r="AT213" s="321"/>
      <c r="AU213" s="321"/>
      <c r="AV213" s="321"/>
      <c r="AW213" s="321"/>
      <c r="AX213" s="321"/>
      <c r="AY213" s="321"/>
      <c r="AZ213" s="321"/>
      <c r="BA213" s="321"/>
      <c r="BB213" s="321"/>
      <c r="BC213" s="321"/>
      <c r="BD213" s="321"/>
      <c r="BE213" s="321"/>
      <c r="BF213" s="321"/>
      <c r="BG213" s="321"/>
      <c r="BH213" s="321"/>
      <c r="BI213" s="321"/>
      <c r="BJ213" s="321"/>
      <c r="BK213" s="321"/>
      <c r="BL213" s="321"/>
      <c r="BM213" s="321"/>
      <c r="BN213" s="321"/>
      <c r="BO213" s="321"/>
      <c r="BP213" s="321"/>
      <c r="BQ213" s="321"/>
      <c r="BR213" s="321"/>
      <c r="BS213" s="321"/>
      <c r="BT213" s="321"/>
      <c r="BU213" s="321"/>
      <c r="BV213" s="321"/>
      <c r="BW213" s="321"/>
      <c r="BX213" s="321"/>
      <c r="BY213" s="321"/>
      <c r="BZ213" s="321"/>
      <c r="CA213" s="321"/>
      <c r="CB213" s="321"/>
      <c r="CC213" s="321"/>
      <c r="CD213" s="321"/>
      <c r="CE213" s="321"/>
      <c r="CF213" s="321"/>
      <c r="CG213" s="321"/>
      <c r="CH213" s="321"/>
      <c r="CI213" s="321"/>
      <c r="CJ213" s="321"/>
      <c r="CK213" s="321"/>
      <c r="CL213" s="321"/>
      <c r="CM213" s="321"/>
      <c r="CN213" s="321"/>
      <c r="CO213" s="321"/>
      <c r="CP213" s="321"/>
      <c r="CQ213" s="321"/>
      <c r="CR213" s="321"/>
      <c r="CS213" s="321"/>
      <c r="CT213" s="321"/>
      <c r="CU213" s="321"/>
      <c r="CV213" s="321"/>
      <c r="CW213" s="321"/>
      <c r="CX213" s="321"/>
      <c r="CY213" s="321"/>
      <c r="CZ213" s="321"/>
      <c r="DA213" s="321"/>
      <c r="DB213" s="321"/>
      <c r="DC213" s="321"/>
      <c r="DD213" s="321"/>
      <c r="DE213" s="321"/>
      <c r="DF213" s="321"/>
      <c r="DG213" s="321"/>
      <c r="DH213" s="321"/>
      <c r="DI213" s="321"/>
      <c r="DJ213" s="321"/>
      <c r="DK213" s="321"/>
      <c r="DL213" s="321"/>
      <c r="DM213" s="321"/>
      <c r="DN213" s="321"/>
      <c r="DO213" s="321"/>
      <c r="DP213" s="321"/>
      <c r="DQ213" s="321"/>
      <c r="DR213" s="321"/>
      <c r="DS213" s="321"/>
      <c r="DT213" s="321"/>
      <c r="DU213" s="321"/>
      <c r="DV213" s="321"/>
      <c r="DW213" s="321"/>
      <c r="DX213" s="321"/>
      <c r="DY213" s="321"/>
      <c r="DZ213" s="321"/>
      <c r="EA213" s="321"/>
      <c r="EB213" s="321"/>
      <c r="EC213" s="321"/>
      <c r="ED213" s="321"/>
      <c r="EE213" s="321"/>
      <c r="EF213" s="321"/>
      <c r="EG213" s="321"/>
      <c r="EH213" s="321"/>
      <c r="EI213" s="321"/>
      <c r="EJ213" s="321"/>
      <c r="EK213" s="321"/>
      <c r="EL213" s="321"/>
      <c r="EM213" s="321"/>
      <c r="EN213" s="321"/>
      <c r="EO213" s="321"/>
      <c r="EP213" s="321"/>
      <c r="EQ213" s="321"/>
      <c r="ER213" s="321"/>
      <c r="ES213" s="321"/>
      <c r="ET213" s="321"/>
      <c r="EU213" s="321"/>
      <c r="EV213" s="321"/>
      <c r="EW213" s="321"/>
      <c r="EX213" s="321"/>
      <c r="EY213" s="321"/>
      <c r="EZ213" s="321"/>
      <c r="FA213" s="321"/>
      <c r="FB213" s="321"/>
      <c r="FC213" s="321"/>
      <c r="FD213" s="321"/>
      <c r="FE213" s="321"/>
      <c r="FF213" s="321"/>
      <c r="FG213" s="321"/>
      <c r="FH213" s="321"/>
      <c r="FI213" s="321"/>
      <c r="FJ213" s="321"/>
      <c r="FK213" s="321"/>
      <c r="FL213" s="321"/>
      <c r="FM213" s="321"/>
      <c r="FN213" s="321"/>
      <c r="FO213" s="321"/>
      <c r="FP213" s="321"/>
      <c r="FQ213" s="321"/>
      <c r="FR213" s="321"/>
      <c r="FS213" s="321"/>
      <c r="FT213" s="321"/>
      <c r="FU213" s="321"/>
      <c r="FV213" s="321"/>
      <c r="FW213" s="321"/>
      <c r="FX213" s="321"/>
      <c r="FY213" s="321"/>
      <c r="FZ213" s="321"/>
      <c r="GA213" s="321"/>
      <c r="GB213" s="321"/>
      <c r="GC213" s="321"/>
      <c r="GD213" s="321"/>
      <c r="GE213" s="321"/>
      <c r="GF213" s="321"/>
      <c r="GG213" s="321"/>
      <c r="GH213" s="321"/>
      <c r="GI213" s="321"/>
      <c r="GJ213" s="321"/>
      <c r="GK213" s="321"/>
      <c r="GL213" s="321"/>
      <c r="GM213" s="321"/>
      <c r="GN213" s="321"/>
      <c r="GO213" s="321"/>
      <c r="GP213" s="321"/>
      <c r="GQ213" s="321"/>
      <c r="GR213" s="321"/>
      <c r="GS213" s="321"/>
      <c r="GT213" s="321"/>
      <c r="GU213" s="321"/>
      <c r="GV213" s="321"/>
      <c r="GW213" s="321"/>
      <c r="GX213" s="321"/>
      <c r="GY213" s="321"/>
      <c r="GZ213" s="321"/>
      <c r="HA213" s="321"/>
      <c r="HB213" s="321"/>
      <c r="HC213" s="321"/>
      <c r="HD213" s="321"/>
      <c r="HE213" s="321"/>
      <c r="HF213" s="321"/>
      <c r="HG213" s="321"/>
      <c r="HH213" s="321"/>
      <c r="HI213" s="321"/>
      <c r="HJ213" s="321"/>
      <c r="HK213" s="321"/>
      <c r="HL213" s="321"/>
      <c r="HM213" s="321"/>
      <c r="HN213" s="321"/>
      <c r="HO213" s="321"/>
      <c r="HP213" s="321"/>
      <c r="HQ213" s="321"/>
      <c r="HR213" s="321"/>
      <c r="HS213" s="321"/>
      <c r="HT213" s="321"/>
      <c r="HU213" s="321"/>
      <c r="HV213" s="321"/>
      <c r="HW213" s="321"/>
      <c r="HX213" s="321"/>
      <c r="HY213" s="321"/>
      <c r="HZ213" s="321"/>
      <c r="IA213" s="321"/>
      <c r="IB213" s="321"/>
      <c r="IC213" s="321"/>
      <c r="ID213" s="321"/>
      <c r="IE213" s="321"/>
      <c r="IF213" s="321"/>
    </row>
    <row r="214" spans="1:240" ht="15" customHeight="1">
      <c r="A214" s="752" t="s">
        <v>701</v>
      </c>
      <c r="B214" s="752"/>
      <c r="C214" s="752"/>
      <c r="D214" s="752"/>
      <c r="E214" s="752"/>
      <c r="F214" s="752"/>
      <c r="G214" s="353" t="s">
        <v>702</v>
      </c>
      <c r="H214" s="335">
        <v>0</v>
      </c>
      <c r="I214" s="335">
        <v>0</v>
      </c>
      <c r="J214" s="334">
        <v>0</v>
      </c>
      <c r="K214" s="335" t="s">
        <v>700</v>
      </c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  <c r="AA214" s="321"/>
      <c r="AB214" s="321"/>
      <c r="AC214" s="321"/>
      <c r="AD214" s="321"/>
      <c r="AE214" s="321"/>
      <c r="AF214" s="321"/>
      <c r="AG214" s="321"/>
      <c r="AH214" s="321"/>
      <c r="AI214" s="321"/>
      <c r="AJ214" s="321"/>
      <c r="AK214" s="321"/>
      <c r="AL214" s="321"/>
      <c r="AM214" s="321"/>
      <c r="AN214" s="321"/>
      <c r="AO214" s="321"/>
      <c r="AP214" s="321"/>
      <c r="AQ214" s="321"/>
      <c r="AR214" s="321"/>
      <c r="AS214" s="321"/>
      <c r="AT214" s="321"/>
      <c r="AU214" s="321"/>
      <c r="AV214" s="321"/>
      <c r="AW214" s="321"/>
      <c r="AX214" s="321"/>
      <c r="AY214" s="321"/>
      <c r="AZ214" s="321"/>
      <c r="BA214" s="321"/>
      <c r="BB214" s="321"/>
      <c r="BC214" s="321"/>
      <c r="BD214" s="321"/>
      <c r="BE214" s="321"/>
      <c r="BF214" s="321"/>
      <c r="BG214" s="321"/>
      <c r="BH214" s="321"/>
      <c r="BI214" s="321"/>
      <c r="BJ214" s="321"/>
      <c r="BK214" s="321"/>
      <c r="BL214" s="321"/>
      <c r="BM214" s="321"/>
      <c r="BN214" s="321"/>
      <c r="BO214" s="321"/>
      <c r="BP214" s="321"/>
      <c r="BQ214" s="321"/>
      <c r="BR214" s="321"/>
      <c r="BS214" s="321"/>
      <c r="BT214" s="321"/>
      <c r="BU214" s="321"/>
      <c r="BV214" s="321"/>
      <c r="BW214" s="321"/>
      <c r="BX214" s="321"/>
      <c r="BY214" s="321"/>
      <c r="BZ214" s="321"/>
      <c r="CA214" s="321"/>
      <c r="CB214" s="321"/>
      <c r="CC214" s="321"/>
      <c r="CD214" s="321"/>
      <c r="CE214" s="321"/>
      <c r="CF214" s="321"/>
      <c r="CG214" s="321"/>
      <c r="CH214" s="321"/>
      <c r="CI214" s="321"/>
      <c r="CJ214" s="321"/>
      <c r="CK214" s="321"/>
      <c r="CL214" s="321"/>
      <c r="CM214" s="321"/>
      <c r="CN214" s="321"/>
      <c r="CO214" s="321"/>
      <c r="CP214" s="321"/>
      <c r="CQ214" s="321"/>
      <c r="CR214" s="321"/>
      <c r="CS214" s="321"/>
      <c r="CT214" s="321"/>
      <c r="CU214" s="321"/>
      <c r="CV214" s="321"/>
      <c r="CW214" s="321"/>
      <c r="CX214" s="321"/>
      <c r="CY214" s="321"/>
      <c r="CZ214" s="321"/>
      <c r="DA214" s="321"/>
      <c r="DB214" s="321"/>
      <c r="DC214" s="321"/>
      <c r="DD214" s="321"/>
      <c r="DE214" s="321"/>
      <c r="DF214" s="321"/>
      <c r="DG214" s="321"/>
      <c r="DH214" s="321"/>
      <c r="DI214" s="321"/>
      <c r="DJ214" s="321"/>
      <c r="DK214" s="321"/>
      <c r="DL214" s="321"/>
      <c r="DM214" s="321"/>
      <c r="DN214" s="321"/>
      <c r="DO214" s="321"/>
      <c r="DP214" s="321"/>
      <c r="DQ214" s="321"/>
      <c r="DR214" s="321"/>
      <c r="DS214" s="321"/>
      <c r="DT214" s="321"/>
      <c r="DU214" s="321"/>
      <c r="DV214" s="321"/>
      <c r="DW214" s="321"/>
      <c r="DX214" s="321"/>
      <c r="DY214" s="321"/>
      <c r="DZ214" s="321"/>
      <c r="EA214" s="321"/>
      <c r="EB214" s="321"/>
      <c r="EC214" s="321"/>
      <c r="ED214" s="321"/>
      <c r="EE214" s="321"/>
      <c r="EF214" s="321"/>
      <c r="EG214" s="321"/>
      <c r="EH214" s="321"/>
      <c r="EI214" s="321"/>
      <c r="EJ214" s="321"/>
      <c r="EK214" s="321"/>
      <c r="EL214" s="321"/>
      <c r="EM214" s="321"/>
      <c r="EN214" s="321"/>
      <c r="EO214" s="321"/>
      <c r="EP214" s="321"/>
      <c r="EQ214" s="321"/>
      <c r="ER214" s="321"/>
      <c r="ES214" s="321"/>
      <c r="ET214" s="321"/>
      <c r="EU214" s="321"/>
      <c r="EV214" s="321"/>
      <c r="EW214" s="321"/>
      <c r="EX214" s="321"/>
      <c r="EY214" s="321"/>
      <c r="EZ214" s="321"/>
      <c r="FA214" s="321"/>
      <c r="FB214" s="321"/>
      <c r="FC214" s="321"/>
      <c r="FD214" s="321"/>
      <c r="FE214" s="321"/>
      <c r="FF214" s="321"/>
      <c r="FG214" s="321"/>
      <c r="FH214" s="321"/>
      <c r="FI214" s="321"/>
      <c r="FJ214" s="321"/>
      <c r="FK214" s="321"/>
      <c r="FL214" s="321"/>
      <c r="FM214" s="321"/>
      <c r="FN214" s="321"/>
      <c r="FO214" s="321"/>
      <c r="FP214" s="321"/>
      <c r="FQ214" s="321"/>
      <c r="FR214" s="321"/>
      <c r="FS214" s="321"/>
      <c r="FT214" s="321"/>
      <c r="FU214" s="321"/>
      <c r="FV214" s="321"/>
      <c r="FW214" s="321"/>
      <c r="FX214" s="321"/>
      <c r="FY214" s="321"/>
      <c r="FZ214" s="321"/>
      <c r="GA214" s="321"/>
      <c r="GB214" s="321"/>
      <c r="GC214" s="321"/>
      <c r="GD214" s="321"/>
      <c r="GE214" s="321"/>
      <c r="GF214" s="321"/>
      <c r="GG214" s="321"/>
      <c r="GH214" s="321"/>
      <c r="GI214" s="321"/>
      <c r="GJ214" s="321"/>
      <c r="GK214" s="321"/>
      <c r="GL214" s="321"/>
      <c r="GM214" s="321"/>
      <c r="GN214" s="321"/>
      <c r="GO214" s="321"/>
      <c r="GP214" s="321"/>
      <c r="GQ214" s="321"/>
      <c r="GR214" s="321"/>
      <c r="GS214" s="321"/>
      <c r="GT214" s="321"/>
      <c r="GU214" s="321"/>
      <c r="GV214" s="321"/>
      <c r="GW214" s="321"/>
      <c r="GX214" s="321"/>
      <c r="GY214" s="321"/>
      <c r="GZ214" s="321"/>
      <c r="HA214" s="321"/>
      <c r="HB214" s="321"/>
      <c r="HC214" s="321"/>
      <c r="HD214" s="321"/>
      <c r="HE214" s="321"/>
      <c r="HF214" s="321"/>
      <c r="HG214" s="321"/>
      <c r="HH214" s="321"/>
      <c r="HI214" s="321"/>
      <c r="HJ214" s="321"/>
      <c r="HK214" s="321"/>
      <c r="HL214" s="321"/>
      <c r="HM214" s="321"/>
      <c r="HN214" s="321"/>
      <c r="HO214" s="321"/>
      <c r="HP214" s="321"/>
      <c r="HQ214" s="321"/>
      <c r="HR214" s="321"/>
      <c r="HS214" s="321"/>
      <c r="HT214" s="321"/>
      <c r="HU214" s="321"/>
      <c r="HV214" s="321"/>
      <c r="HW214" s="321"/>
      <c r="HX214" s="321"/>
      <c r="HY214" s="321"/>
      <c r="HZ214" s="321"/>
      <c r="IA214" s="321"/>
      <c r="IB214" s="321"/>
      <c r="IC214" s="321"/>
      <c r="ID214" s="321"/>
      <c r="IE214" s="321"/>
      <c r="IF214" s="321"/>
    </row>
    <row r="215" spans="1:240" ht="15" customHeight="1">
      <c r="A215" s="752" t="s">
        <v>703</v>
      </c>
      <c r="B215" s="752"/>
      <c r="C215" s="752"/>
      <c r="D215" s="752"/>
      <c r="E215" s="752"/>
      <c r="F215" s="752"/>
      <c r="G215" s="353" t="s">
        <v>529</v>
      </c>
      <c r="H215" s="334">
        <f>H216+H126+H127</f>
        <v>18.380000000000003</v>
      </c>
      <c r="I215" s="336">
        <f>I216+I126+I127</f>
        <v>42</v>
      </c>
      <c r="J215" s="334">
        <f>J216+J126+J127</f>
        <v>544.98</v>
      </c>
      <c r="K215" s="335" t="s">
        <v>698</v>
      </c>
      <c r="L215" s="325" t="s">
        <v>512</v>
      </c>
      <c r="M215" s="337">
        <f>M10+M12+M20+M30+M49+M126+M127+M152+M155+M156+M183+M194+M195</f>
        <v>39.97</v>
      </c>
      <c r="N215" s="337">
        <f>N10+N12+N20+N30+N49+N126+N127+N152+N155+N156+N183+N194+N195</f>
        <v>589.2958000000001</v>
      </c>
      <c r="O215" s="321" t="s">
        <v>513</v>
      </c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1"/>
      <c r="AB215" s="321"/>
      <c r="AC215" s="321"/>
      <c r="AD215" s="321"/>
      <c r="AE215" s="321"/>
      <c r="AF215" s="321"/>
      <c r="AG215" s="321"/>
      <c r="AH215" s="321"/>
      <c r="AI215" s="321"/>
      <c r="AJ215" s="321"/>
      <c r="AK215" s="321"/>
      <c r="AL215" s="321"/>
      <c r="AM215" s="321"/>
      <c r="AN215" s="321"/>
      <c r="AO215" s="321"/>
      <c r="AP215" s="321"/>
      <c r="AQ215" s="321"/>
      <c r="AR215" s="321"/>
      <c r="AS215" s="321"/>
      <c r="AT215" s="321"/>
      <c r="AU215" s="321"/>
      <c r="AV215" s="321"/>
      <c r="AW215" s="321"/>
      <c r="AX215" s="321"/>
      <c r="AY215" s="321"/>
      <c r="AZ215" s="321"/>
      <c r="BA215" s="321"/>
      <c r="BB215" s="321"/>
      <c r="BC215" s="321"/>
      <c r="BD215" s="321"/>
      <c r="BE215" s="321"/>
      <c r="BF215" s="321"/>
      <c r="BG215" s="321"/>
      <c r="BH215" s="321"/>
      <c r="BI215" s="321"/>
      <c r="BJ215" s="321"/>
      <c r="BK215" s="321"/>
      <c r="BL215" s="321"/>
      <c r="BM215" s="321"/>
      <c r="BN215" s="321"/>
      <c r="BO215" s="321"/>
      <c r="BP215" s="321"/>
      <c r="BQ215" s="321"/>
      <c r="BR215" s="321"/>
      <c r="BS215" s="321"/>
      <c r="BT215" s="321"/>
      <c r="BU215" s="321"/>
      <c r="BV215" s="321"/>
      <c r="BW215" s="321"/>
      <c r="BX215" s="321"/>
      <c r="BY215" s="321"/>
      <c r="BZ215" s="321"/>
      <c r="CA215" s="321"/>
      <c r="CB215" s="321"/>
      <c r="CC215" s="321"/>
      <c r="CD215" s="321"/>
      <c r="CE215" s="321"/>
      <c r="CF215" s="321"/>
      <c r="CG215" s="321"/>
      <c r="CH215" s="321"/>
      <c r="CI215" s="321"/>
      <c r="CJ215" s="321"/>
      <c r="CK215" s="321"/>
      <c r="CL215" s="321"/>
      <c r="CM215" s="321"/>
      <c r="CN215" s="321"/>
      <c r="CO215" s="321"/>
      <c r="CP215" s="321"/>
      <c r="CQ215" s="321"/>
      <c r="CR215" s="321"/>
      <c r="CS215" s="321"/>
      <c r="CT215" s="321"/>
      <c r="CU215" s="321"/>
      <c r="CV215" s="321"/>
      <c r="CW215" s="321"/>
      <c r="CX215" s="321"/>
      <c r="CY215" s="321"/>
      <c r="CZ215" s="321"/>
      <c r="DA215" s="321"/>
      <c r="DB215" s="321"/>
      <c r="DC215" s="321"/>
      <c r="DD215" s="321"/>
      <c r="DE215" s="321"/>
      <c r="DF215" s="321"/>
      <c r="DG215" s="321"/>
      <c r="DH215" s="321"/>
      <c r="DI215" s="321"/>
      <c r="DJ215" s="321"/>
      <c r="DK215" s="321"/>
      <c r="DL215" s="321"/>
      <c r="DM215" s="321"/>
      <c r="DN215" s="321"/>
      <c r="DO215" s="321"/>
      <c r="DP215" s="321"/>
      <c r="DQ215" s="321"/>
      <c r="DR215" s="321"/>
      <c r="DS215" s="321"/>
      <c r="DT215" s="321"/>
      <c r="DU215" s="321"/>
      <c r="DV215" s="321"/>
      <c r="DW215" s="321"/>
      <c r="DX215" s="321"/>
      <c r="DY215" s="321"/>
      <c r="DZ215" s="321"/>
      <c r="EA215" s="321"/>
      <c r="EB215" s="321"/>
      <c r="EC215" s="321"/>
      <c r="ED215" s="321"/>
      <c r="EE215" s="321"/>
      <c r="EF215" s="321"/>
      <c r="EG215" s="321"/>
      <c r="EH215" s="321"/>
      <c r="EI215" s="321"/>
      <c r="EJ215" s="321"/>
      <c r="EK215" s="321"/>
      <c r="EL215" s="321"/>
      <c r="EM215" s="321"/>
      <c r="EN215" s="321"/>
      <c r="EO215" s="321"/>
      <c r="EP215" s="321"/>
      <c r="EQ215" s="321"/>
      <c r="ER215" s="321"/>
      <c r="ES215" s="321"/>
      <c r="ET215" s="321"/>
      <c r="EU215" s="321"/>
      <c r="EV215" s="321"/>
      <c r="EW215" s="321"/>
      <c r="EX215" s="321"/>
      <c r="EY215" s="321"/>
      <c r="EZ215" s="321"/>
      <c r="FA215" s="321"/>
      <c r="FB215" s="321"/>
      <c r="FC215" s="321"/>
      <c r="FD215" s="321"/>
      <c r="FE215" s="321"/>
      <c r="FF215" s="321"/>
      <c r="FG215" s="321"/>
      <c r="FH215" s="321"/>
      <c r="FI215" s="321"/>
      <c r="FJ215" s="321"/>
      <c r="FK215" s="321"/>
      <c r="FL215" s="321"/>
      <c r="FM215" s="321"/>
      <c r="FN215" s="321"/>
      <c r="FO215" s="321"/>
      <c r="FP215" s="321"/>
      <c r="FQ215" s="321"/>
      <c r="FR215" s="321"/>
      <c r="FS215" s="321"/>
      <c r="FT215" s="321"/>
      <c r="FU215" s="321"/>
      <c r="FV215" s="321"/>
      <c r="FW215" s="321"/>
      <c r="FX215" s="321"/>
      <c r="FY215" s="321"/>
      <c r="FZ215" s="321"/>
      <c r="GA215" s="321"/>
      <c r="GB215" s="321"/>
      <c r="GC215" s="321"/>
      <c r="GD215" s="321"/>
      <c r="GE215" s="321"/>
      <c r="GF215" s="321"/>
      <c r="GG215" s="321"/>
      <c r="GH215" s="321"/>
      <c r="GI215" s="321"/>
      <c r="GJ215" s="321"/>
      <c r="GK215" s="321"/>
      <c r="GL215" s="321"/>
      <c r="GM215" s="321"/>
      <c r="GN215" s="321"/>
      <c r="GO215" s="321"/>
      <c r="GP215" s="321"/>
      <c r="GQ215" s="321"/>
      <c r="GR215" s="321"/>
      <c r="GS215" s="321"/>
      <c r="GT215" s="321"/>
      <c r="GU215" s="321"/>
      <c r="GV215" s="321"/>
      <c r="GW215" s="321"/>
      <c r="GX215" s="321"/>
      <c r="GY215" s="321"/>
      <c r="GZ215" s="321"/>
      <c r="HA215" s="321"/>
      <c r="HB215" s="321"/>
      <c r="HC215" s="321"/>
      <c r="HD215" s="321"/>
      <c r="HE215" s="321"/>
      <c r="HF215" s="321"/>
      <c r="HG215" s="321"/>
      <c r="HH215" s="321"/>
      <c r="HI215" s="321"/>
      <c r="HJ215" s="321"/>
      <c r="HK215" s="321"/>
      <c r="HL215" s="321"/>
      <c r="HM215" s="321"/>
      <c r="HN215" s="321"/>
      <c r="HO215" s="321"/>
      <c r="HP215" s="321"/>
      <c r="HQ215" s="321"/>
      <c r="HR215" s="321"/>
      <c r="HS215" s="321"/>
      <c r="HT215" s="321"/>
      <c r="HU215" s="321"/>
      <c r="HV215" s="321"/>
      <c r="HW215" s="321"/>
      <c r="HX215" s="321"/>
      <c r="HY215" s="321"/>
      <c r="HZ215" s="321"/>
      <c r="IA215" s="321"/>
      <c r="IB215" s="321"/>
      <c r="IC215" s="321"/>
      <c r="ID215" s="321"/>
      <c r="IE215" s="321"/>
      <c r="IF215" s="321"/>
    </row>
    <row r="216" spans="1:240" ht="15" customHeight="1">
      <c r="A216" s="752" t="s">
        <v>704</v>
      </c>
      <c r="B216" s="752"/>
      <c r="C216" s="752"/>
      <c r="D216" s="752"/>
      <c r="E216" s="752"/>
      <c r="F216" s="752"/>
      <c r="G216" s="353" t="s">
        <v>516</v>
      </c>
      <c r="H216" s="334">
        <f>H10+H12+H20+H30+H49+H152+H155+H156+H183+H194+H195</f>
        <v>14.3</v>
      </c>
      <c r="I216" s="336">
        <f>I10+I12+I20+I30+I49+I152+I155+I156+I183+I194+I195</f>
        <v>38</v>
      </c>
      <c r="J216" s="334">
        <f>J10+J12+J20+J30+J49+J152+J155+J156+J183+J194+J195</f>
        <v>487.05</v>
      </c>
      <c r="K216" s="335" t="s">
        <v>705</v>
      </c>
      <c r="L216" s="325" t="s">
        <v>512</v>
      </c>
      <c r="M216" s="337">
        <f>M10+M12+M20+M30+M49+M152+M155+M156+M183+M194+M195</f>
        <v>31.810000000000002</v>
      </c>
      <c r="N216" s="337">
        <f>N10+N12+N20+N30+N49+N152+N155+N156+N183+N194+N195</f>
        <v>477.9249000000001</v>
      </c>
      <c r="O216" s="321" t="s">
        <v>513</v>
      </c>
      <c r="P216" s="321"/>
      <c r="Q216" s="321"/>
      <c r="R216" s="321"/>
      <c r="S216" s="321"/>
      <c r="T216" s="321"/>
      <c r="U216" s="321"/>
      <c r="V216" s="321"/>
      <c r="W216" s="321"/>
      <c r="X216" s="321"/>
      <c r="Y216" s="321"/>
      <c r="Z216" s="321"/>
      <c r="AA216" s="321"/>
      <c r="AB216" s="321"/>
      <c r="AC216" s="321"/>
      <c r="AD216" s="321"/>
      <c r="AE216" s="321"/>
      <c r="AF216" s="321"/>
      <c r="AG216" s="321"/>
      <c r="AH216" s="321"/>
      <c r="AI216" s="321"/>
      <c r="AJ216" s="321"/>
      <c r="AK216" s="321"/>
      <c r="AL216" s="321"/>
      <c r="AM216" s="321"/>
      <c r="AN216" s="321"/>
      <c r="AO216" s="321"/>
      <c r="AP216" s="321"/>
      <c r="AQ216" s="321"/>
      <c r="AR216" s="321"/>
      <c r="AS216" s="321"/>
      <c r="AT216" s="321"/>
      <c r="AU216" s="321"/>
      <c r="AV216" s="321"/>
      <c r="AW216" s="321"/>
      <c r="AX216" s="321"/>
      <c r="AY216" s="321"/>
      <c r="AZ216" s="321"/>
      <c r="BA216" s="321"/>
      <c r="BB216" s="321"/>
      <c r="BC216" s="321"/>
      <c r="BD216" s="321"/>
      <c r="BE216" s="321"/>
      <c r="BF216" s="321"/>
      <c r="BG216" s="321"/>
      <c r="BH216" s="321"/>
      <c r="BI216" s="321"/>
      <c r="BJ216" s="321"/>
      <c r="BK216" s="321"/>
      <c r="BL216" s="321"/>
      <c r="BM216" s="321"/>
      <c r="BN216" s="321"/>
      <c r="BO216" s="321"/>
      <c r="BP216" s="321"/>
      <c r="BQ216" s="321"/>
      <c r="BR216" s="321"/>
      <c r="BS216" s="321"/>
      <c r="BT216" s="321"/>
      <c r="BU216" s="321"/>
      <c r="BV216" s="321"/>
      <c r="BW216" s="321"/>
      <c r="BX216" s="321"/>
      <c r="BY216" s="321"/>
      <c r="BZ216" s="321"/>
      <c r="CA216" s="321"/>
      <c r="CB216" s="321"/>
      <c r="CC216" s="321"/>
      <c r="CD216" s="321"/>
      <c r="CE216" s="321"/>
      <c r="CF216" s="321"/>
      <c r="CG216" s="321"/>
      <c r="CH216" s="321"/>
      <c r="CI216" s="321"/>
      <c r="CJ216" s="321"/>
      <c r="CK216" s="321"/>
      <c r="CL216" s="321"/>
      <c r="CM216" s="321"/>
      <c r="CN216" s="321"/>
      <c r="CO216" s="321"/>
      <c r="CP216" s="321"/>
      <c r="CQ216" s="321"/>
      <c r="CR216" s="321"/>
      <c r="CS216" s="321"/>
      <c r="CT216" s="321"/>
      <c r="CU216" s="321"/>
      <c r="CV216" s="321"/>
      <c r="CW216" s="321"/>
      <c r="CX216" s="321"/>
      <c r="CY216" s="321"/>
      <c r="CZ216" s="321"/>
      <c r="DA216" s="321"/>
      <c r="DB216" s="321"/>
      <c r="DC216" s="321"/>
      <c r="DD216" s="321"/>
      <c r="DE216" s="321"/>
      <c r="DF216" s="321"/>
      <c r="DG216" s="321"/>
      <c r="DH216" s="321"/>
      <c r="DI216" s="321"/>
      <c r="DJ216" s="321"/>
      <c r="DK216" s="321"/>
      <c r="DL216" s="321"/>
      <c r="DM216" s="321"/>
      <c r="DN216" s="321"/>
      <c r="DO216" s="321"/>
      <c r="DP216" s="321"/>
      <c r="DQ216" s="321"/>
      <c r="DR216" s="321"/>
      <c r="DS216" s="321"/>
      <c r="DT216" s="321"/>
      <c r="DU216" s="321"/>
      <c r="DV216" s="321"/>
      <c r="DW216" s="321"/>
      <c r="DX216" s="321"/>
      <c r="DY216" s="321"/>
      <c r="DZ216" s="321"/>
      <c r="EA216" s="321"/>
      <c r="EB216" s="321"/>
      <c r="EC216" s="321"/>
      <c r="ED216" s="321"/>
      <c r="EE216" s="321"/>
      <c r="EF216" s="321"/>
      <c r="EG216" s="321"/>
      <c r="EH216" s="321"/>
      <c r="EI216" s="321"/>
      <c r="EJ216" s="321"/>
      <c r="EK216" s="321"/>
      <c r="EL216" s="321"/>
      <c r="EM216" s="321"/>
      <c r="EN216" s="321"/>
      <c r="EO216" s="321"/>
      <c r="EP216" s="321"/>
      <c r="EQ216" s="321"/>
      <c r="ER216" s="321"/>
      <c r="ES216" s="321"/>
      <c r="ET216" s="321"/>
      <c r="EU216" s="321"/>
      <c r="EV216" s="321"/>
      <c r="EW216" s="321"/>
      <c r="EX216" s="321"/>
      <c r="EY216" s="321"/>
      <c r="EZ216" s="321"/>
      <c r="FA216" s="321"/>
      <c r="FB216" s="321"/>
      <c r="FC216" s="321"/>
      <c r="FD216" s="321"/>
      <c r="FE216" s="321"/>
      <c r="FF216" s="321"/>
      <c r="FG216" s="321"/>
      <c r="FH216" s="321"/>
      <c r="FI216" s="321"/>
      <c r="FJ216" s="321"/>
      <c r="FK216" s="321"/>
      <c r="FL216" s="321"/>
      <c r="FM216" s="321"/>
      <c r="FN216" s="321"/>
      <c r="FO216" s="321"/>
      <c r="FP216" s="321"/>
      <c r="FQ216" s="321"/>
      <c r="FR216" s="321"/>
      <c r="FS216" s="321"/>
      <c r="FT216" s="321"/>
      <c r="FU216" s="321"/>
      <c r="FV216" s="321"/>
      <c r="FW216" s="321"/>
      <c r="FX216" s="321"/>
      <c r="FY216" s="321"/>
      <c r="FZ216" s="321"/>
      <c r="GA216" s="321"/>
      <c r="GB216" s="321"/>
      <c r="GC216" s="321"/>
      <c r="GD216" s="321"/>
      <c r="GE216" s="321"/>
      <c r="GF216" s="321"/>
      <c r="GG216" s="321"/>
      <c r="GH216" s="321"/>
      <c r="GI216" s="321"/>
      <c r="GJ216" s="321"/>
      <c r="GK216" s="321"/>
      <c r="GL216" s="321"/>
      <c r="GM216" s="321"/>
      <c r="GN216" s="321"/>
      <c r="GO216" s="321"/>
      <c r="GP216" s="321"/>
      <c r="GQ216" s="321"/>
      <c r="GR216" s="321"/>
      <c r="GS216" s="321"/>
      <c r="GT216" s="321"/>
      <c r="GU216" s="321"/>
      <c r="GV216" s="321"/>
      <c r="GW216" s="321"/>
      <c r="GX216" s="321"/>
      <c r="GY216" s="321"/>
      <c r="GZ216" s="321"/>
      <c r="HA216" s="321"/>
      <c r="HB216" s="321"/>
      <c r="HC216" s="321"/>
      <c r="HD216" s="321"/>
      <c r="HE216" s="321"/>
      <c r="HF216" s="321"/>
      <c r="HG216" s="321"/>
      <c r="HH216" s="321"/>
      <c r="HI216" s="321"/>
      <c r="HJ216" s="321"/>
      <c r="HK216" s="321"/>
      <c r="HL216" s="321"/>
      <c r="HM216" s="321"/>
      <c r="HN216" s="321"/>
      <c r="HO216" s="321"/>
      <c r="HP216" s="321"/>
      <c r="HQ216" s="321"/>
      <c r="HR216" s="321"/>
      <c r="HS216" s="321"/>
      <c r="HT216" s="321"/>
      <c r="HU216" s="321"/>
      <c r="HV216" s="321"/>
      <c r="HW216" s="321"/>
      <c r="HX216" s="321"/>
      <c r="HY216" s="321"/>
      <c r="HZ216" s="321"/>
      <c r="IA216" s="321"/>
      <c r="IB216" s="321"/>
      <c r="IC216" s="321"/>
      <c r="ID216" s="321"/>
      <c r="IE216" s="321"/>
      <c r="IF216" s="321"/>
    </row>
    <row r="217" spans="1:240" ht="15" customHeight="1">
      <c r="A217" s="750" t="s">
        <v>707</v>
      </c>
      <c r="B217" s="750"/>
      <c r="C217" s="750"/>
      <c r="D217" s="750"/>
      <c r="E217" s="750"/>
      <c r="F217" s="750"/>
      <c r="G217" s="354" t="s">
        <v>697</v>
      </c>
      <c r="H217" s="338">
        <f aca="true" t="shared" si="14" ref="H217:J221">H207+H212</f>
        <v>941.61</v>
      </c>
      <c r="I217" s="340">
        <f t="shared" si="14"/>
        <v>1078</v>
      </c>
      <c r="J217" s="338">
        <f t="shared" si="14"/>
        <v>28152.339999999997</v>
      </c>
      <c r="K217" s="339" t="s">
        <v>698</v>
      </c>
      <c r="L217" s="341" t="s">
        <v>512</v>
      </c>
      <c r="M217" s="342">
        <f>M218+M220</f>
        <v>7021.140000000001</v>
      </c>
      <c r="N217" s="342">
        <f>N218+N220</f>
        <v>156932.3704</v>
      </c>
      <c r="O217" s="343" t="s">
        <v>513</v>
      </c>
      <c r="P217" s="319"/>
      <c r="Q217" s="320"/>
      <c r="R217" s="321"/>
      <c r="S217" s="320"/>
      <c r="T217" s="321"/>
      <c r="U217" s="321"/>
      <c r="V217" s="321"/>
      <c r="W217" s="321"/>
      <c r="X217" s="321"/>
      <c r="Y217" s="321"/>
      <c r="Z217" s="321"/>
      <c r="AA217" s="321"/>
      <c r="AB217" s="321"/>
      <c r="AC217" s="321"/>
      <c r="AD217" s="321"/>
      <c r="AE217" s="321"/>
      <c r="AF217" s="321"/>
      <c r="AG217" s="321"/>
      <c r="AH217" s="321"/>
      <c r="AI217" s="321"/>
      <c r="AJ217" s="321"/>
      <c r="AK217" s="321"/>
      <c r="AL217" s="321"/>
      <c r="AM217" s="321"/>
      <c r="AN217" s="321"/>
      <c r="AO217" s="321"/>
      <c r="AP217" s="321"/>
      <c r="AQ217" s="321"/>
      <c r="AR217" s="321"/>
      <c r="AS217" s="321"/>
      <c r="AT217" s="321"/>
      <c r="AU217" s="321"/>
      <c r="AV217" s="321"/>
      <c r="AW217" s="321"/>
      <c r="AX217" s="321"/>
      <c r="AY217" s="321"/>
      <c r="AZ217" s="321"/>
      <c r="BA217" s="321"/>
      <c r="BB217" s="321"/>
      <c r="BC217" s="321"/>
      <c r="BD217" s="321"/>
      <c r="BE217" s="321"/>
      <c r="BF217" s="321"/>
      <c r="BG217" s="321"/>
      <c r="BH217" s="321"/>
      <c r="BI217" s="321"/>
      <c r="BJ217" s="321"/>
      <c r="BK217" s="321"/>
      <c r="BL217" s="321"/>
      <c r="BM217" s="321"/>
      <c r="BN217" s="321"/>
      <c r="BO217" s="321"/>
      <c r="BP217" s="321"/>
      <c r="BQ217" s="321"/>
      <c r="BR217" s="321"/>
      <c r="BS217" s="321"/>
      <c r="BT217" s="321"/>
      <c r="BU217" s="321"/>
      <c r="BV217" s="321"/>
      <c r="BW217" s="321"/>
      <c r="BX217" s="321"/>
      <c r="BY217" s="321"/>
      <c r="BZ217" s="321"/>
      <c r="CA217" s="321"/>
      <c r="CB217" s="321"/>
      <c r="CC217" s="321"/>
      <c r="CD217" s="321"/>
      <c r="CE217" s="321"/>
      <c r="CF217" s="321"/>
      <c r="CG217" s="321"/>
      <c r="CH217" s="321"/>
      <c r="CI217" s="321"/>
      <c r="CJ217" s="321"/>
      <c r="CK217" s="321"/>
      <c r="CL217" s="321"/>
      <c r="CM217" s="321"/>
      <c r="CN217" s="321"/>
      <c r="CO217" s="321"/>
      <c r="CP217" s="321"/>
      <c r="CQ217" s="321"/>
      <c r="CR217" s="321"/>
      <c r="CS217" s="321"/>
      <c r="CT217" s="321"/>
      <c r="CU217" s="321"/>
      <c r="CV217" s="321"/>
      <c r="CW217" s="321"/>
      <c r="CX217" s="321"/>
      <c r="CY217" s="321"/>
      <c r="CZ217" s="321"/>
      <c r="DA217" s="321"/>
      <c r="DB217" s="321"/>
      <c r="DC217" s="321"/>
      <c r="DD217" s="321"/>
      <c r="DE217" s="321"/>
      <c r="DF217" s="321"/>
      <c r="DG217" s="321"/>
      <c r="DH217" s="321"/>
      <c r="DI217" s="321"/>
      <c r="DJ217" s="321"/>
      <c r="DK217" s="321"/>
      <c r="DL217" s="321"/>
      <c r="DM217" s="321"/>
      <c r="DN217" s="321"/>
      <c r="DO217" s="321"/>
      <c r="DP217" s="321"/>
      <c r="DQ217" s="321"/>
      <c r="DR217" s="321"/>
      <c r="DS217" s="321"/>
      <c r="DT217" s="321"/>
      <c r="DU217" s="321"/>
      <c r="DV217" s="321"/>
      <c r="DW217" s="321"/>
      <c r="DX217" s="321"/>
      <c r="DY217" s="321"/>
      <c r="DZ217" s="321"/>
      <c r="EA217" s="321"/>
      <c r="EB217" s="321"/>
      <c r="EC217" s="321"/>
      <c r="ED217" s="321"/>
      <c r="EE217" s="321"/>
      <c r="EF217" s="321"/>
      <c r="EG217" s="321"/>
      <c r="EH217" s="321"/>
      <c r="EI217" s="321"/>
      <c r="EJ217" s="321"/>
      <c r="EK217" s="321"/>
      <c r="EL217" s="321"/>
      <c r="EM217" s="321"/>
      <c r="EN217" s="321"/>
      <c r="EO217" s="321"/>
      <c r="EP217" s="321"/>
      <c r="EQ217" s="321"/>
      <c r="ER217" s="321"/>
      <c r="ES217" s="321"/>
      <c r="ET217" s="321"/>
      <c r="EU217" s="321"/>
      <c r="EV217" s="321"/>
      <c r="EW217" s="321"/>
      <c r="EX217" s="321"/>
      <c r="EY217" s="321"/>
      <c r="EZ217" s="321"/>
      <c r="FA217" s="321"/>
      <c r="FB217" s="321"/>
      <c r="FC217" s="321"/>
      <c r="FD217" s="321"/>
      <c r="FE217" s="321"/>
      <c r="FF217" s="321"/>
      <c r="FG217" s="321"/>
      <c r="FH217" s="321"/>
      <c r="FI217" s="321"/>
      <c r="FJ217" s="321"/>
      <c r="FK217" s="321"/>
      <c r="FL217" s="321"/>
      <c r="FM217" s="321"/>
      <c r="FN217" s="321"/>
      <c r="FO217" s="321"/>
      <c r="FP217" s="321"/>
      <c r="FQ217" s="321"/>
      <c r="FR217" s="321"/>
      <c r="FS217" s="321"/>
      <c r="FT217" s="321"/>
      <c r="FU217" s="321"/>
      <c r="FV217" s="321"/>
      <c r="FW217" s="321"/>
      <c r="FX217" s="321"/>
      <c r="FY217" s="321"/>
      <c r="FZ217" s="321"/>
      <c r="GA217" s="321"/>
      <c r="GB217" s="321"/>
      <c r="GC217" s="321"/>
      <c r="GD217" s="321"/>
      <c r="GE217" s="321"/>
      <c r="GF217" s="321"/>
      <c r="GG217" s="321"/>
      <c r="GH217" s="321"/>
      <c r="GI217" s="321"/>
      <c r="GJ217" s="321"/>
      <c r="GK217" s="321"/>
      <c r="GL217" s="321"/>
      <c r="GM217" s="321"/>
      <c r="GN217" s="321"/>
      <c r="GO217" s="321"/>
      <c r="GP217" s="321"/>
      <c r="GQ217" s="321"/>
      <c r="GR217" s="321"/>
      <c r="GS217" s="321"/>
      <c r="GT217" s="321"/>
      <c r="GU217" s="321"/>
      <c r="GV217" s="321"/>
      <c r="GW217" s="321"/>
      <c r="GX217" s="321"/>
      <c r="GY217" s="321"/>
      <c r="GZ217" s="321"/>
      <c r="HA217" s="321"/>
      <c r="HB217" s="321"/>
      <c r="HC217" s="321"/>
      <c r="HD217" s="321"/>
      <c r="HE217" s="321"/>
      <c r="HF217" s="321"/>
      <c r="HG217" s="321"/>
      <c r="HH217" s="321"/>
      <c r="HI217" s="321"/>
      <c r="HJ217" s="321"/>
      <c r="HK217" s="321"/>
      <c r="HL217" s="321"/>
      <c r="HM217" s="321"/>
      <c r="HN217" s="321"/>
      <c r="HO217" s="321"/>
      <c r="HP217" s="321"/>
      <c r="HQ217" s="321"/>
      <c r="HR217" s="321"/>
      <c r="HS217" s="321"/>
      <c r="HT217" s="321"/>
      <c r="HU217" s="321"/>
      <c r="HV217" s="321"/>
      <c r="HW217" s="321"/>
      <c r="HX217" s="321"/>
      <c r="HY217" s="321"/>
      <c r="HZ217" s="321"/>
      <c r="IA217" s="321"/>
      <c r="IB217" s="321"/>
      <c r="IC217" s="321"/>
      <c r="ID217" s="321"/>
      <c r="IE217" s="321"/>
      <c r="IF217" s="321"/>
    </row>
    <row r="218" spans="1:240" ht="15" customHeight="1">
      <c r="A218" s="751" t="s">
        <v>699</v>
      </c>
      <c r="B218" s="751"/>
      <c r="C218" s="751"/>
      <c r="D218" s="751"/>
      <c r="E218" s="751"/>
      <c r="F218" s="751"/>
      <c r="G218" s="354" t="s">
        <v>522</v>
      </c>
      <c r="H218" s="338">
        <f t="shared" si="14"/>
        <v>852.76</v>
      </c>
      <c r="I218" s="340">
        <f t="shared" si="14"/>
        <v>729</v>
      </c>
      <c r="J218" s="338">
        <f t="shared" si="14"/>
        <v>22537.92</v>
      </c>
      <c r="K218" s="344" t="s">
        <v>700</v>
      </c>
      <c r="L218" s="325" t="s">
        <v>512</v>
      </c>
      <c r="M218" s="345">
        <f>M208+M213</f>
        <v>6327.250000000001</v>
      </c>
      <c r="N218" s="345">
        <f>N208+N213</f>
        <v>143588.15480000002</v>
      </c>
      <c r="O218" s="321" t="s">
        <v>513</v>
      </c>
      <c r="P218" s="321"/>
      <c r="Q218" s="321"/>
      <c r="R218" s="321"/>
      <c r="S218" s="321"/>
      <c r="T218" s="321"/>
      <c r="U218" s="321"/>
      <c r="V218" s="321"/>
      <c r="W218" s="321"/>
      <c r="X218" s="321"/>
      <c r="Y218" s="321"/>
      <c r="Z218" s="321"/>
      <c r="AA218" s="321"/>
      <c r="AB218" s="321"/>
      <c r="AC218" s="321"/>
      <c r="AD218" s="321"/>
      <c r="AE218" s="321"/>
      <c r="AF218" s="321"/>
      <c r="AG218" s="321"/>
      <c r="AH218" s="321"/>
      <c r="AI218" s="321"/>
      <c r="AJ218" s="321"/>
      <c r="AK218" s="321"/>
      <c r="AL218" s="321"/>
      <c r="AM218" s="321"/>
      <c r="AN218" s="321"/>
      <c r="AO218" s="321"/>
      <c r="AP218" s="321"/>
      <c r="AQ218" s="321"/>
      <c r="AR218" s="321"/>
      <c r="AS218" s="321"/>
      <c r="AT218" s="321"/>
      <c r="AU218" s="321"/>
      <c r="AV218" s="321"/>
      <c r="AW218" s="321"/>
      <c r="AX218" s="321"/>
      <c r="AY218" s="321"/>
      <c r="AZ218" s="321"/>
      <c r="BA218" s="321"/>
      <c r="BB218" s="321"/>
      <c r="BC218" s="321"/>
      <c r="BD218" s="321"/>
      <c r="BE218" s="321"/>
      <c r="BF218" s="321"/>
      <c r="BG218" s="321"/>
      <c r="BH218" s="321"/>
      <c r="BI218" s="321"/>
      <c r="BJ218" s="321"/>
      <c r="BK218" s="321"/>
      <c r="BL218" s="321"/>
      <c r="BM218" s="321"/>
      <c r="BN218" s="321"/>
      <c r="BO218" s="321"/>
      <c r="BP218" s="321"/>
      <c r="BQ218" s="321"/>
      <c r="BR218" s="321"/>
      <c r="BS218" s="321"/>
      <c r="BT218" s="321"/>
      <c r="BU218" s="321"/>
      <c r="BV218" s="321"/>
      <c r="BW218" s="321"/>
      <c r="BX218" s="321"/>
      <c r="BY218" s="321"/>
      <c r="BZ218" s="321"/>
      <c r="CA218" s="321"/>
      <c r="CB218" s="321"/>
      <c r="CC218" s="321"/>
      <c r="CD218" s="321"/>
      <c r="CE218" s="321"/>
      <c r="CF218" s="321"/>
      <c r="CG218" s="321"/>
      <c r="CH218" s="321"/>
      <c r="CI218" s="321"/>
      <c r="CJ218" s="321"/>
      <c r="CK218" s="321"/>
      <c r="CL218" s="321"/>
      <c r="CM218" s="321"/>
      <c r="CN218" s="321"/>
      <c r="CO218" s="321"/>
      <c r="CP218" s="321"/>
      <c r="CQ218" s="321"/>
      <c r="CR218" s="321"/>
      <c r="CS218" s="321"/>
      <c r="CT218" s="321"/>
      <c r="CU218" s="321"/>
      <c r="CV218" s="321"/>
      <c r="CW218" s="321"/>
      <c r="CX218" s="321"/>
      <c r="CY218" s="321"/>
      <c r="CZ218" s="321"/>
      <c r="DA218" s="321"/>
      <c r="DB218" s="321"/>
      <c r="DC218" s="321"/>
      <c r="DD218" s="321"/>
      <c r="DE218" s="321"/>
      <c r="DF218" s="321"/>
      <c r="DG218" s="321"/>
      <c r="DH218" s="321"/>
      <c r="DI218" s="321"/>
      <c r="DJ218" s="321"/>
      <c r="DK218" s="321"/>
      <c r="DL218" s="321"/>
      <c r="DM218" s="321"/>
      <c r="DN218" s="321"/>
      <c r="DO218" s="321"/>
      <c r="DP218" s="321"/>
      <c r="DQ218" s="321"/>
      <c r="DR218" s="321"/>
      <c r="DS218" s="321"/>
      <c r="DT218" s="321"/>
      <c r="DU218" s="321"/>
      <c r="DV218" s="321"/>
      <c r="DW218" s="321"/>
      <c r="DX218" s="321"/>
      <c r="DY218" s="321"/>
      <c r="DZ218" s="321"/>
      <c r="EA218" s="321"/>
      <c r="EB218" s="321"/>
      <c r="EC218" s="321"/>
      <c r="ED218" s="321"/>
      <c r="EE218" s="321"/>
      <c r="EF218" s="321"/>
      <c r="EG218" s="321"/>
      <c r="EH218" s="321"/>
      <c r="EI218" s="321"/>
      <c r="EJ218" s="321"/>
      <c r="EK218" s="321"/>
      <c r="EL218" s="321"/>
      <c r="EM218" s="321"/>
      <c r="EN218" s="321"/>
      <c r="EO218" s="321"/>
      <c r="EP218" s="321"/>
      <c r="EQ218" s="321"/>
      <c r="ER218" s="321"/>
      <c r="ES218" s="321"/>
      <c r="ET218" s="321"/>
      <c r="EU218" s="321"/>
      <c r="EV218" s="321"/>
      <c r="EW218" s="321"/>
      <c r="EX218" s="321"/>
      <c r="EY218" s="321"/>
      <c r="EZ218" s="321"/>
      <c r="FA218" s="321"/>
      <c r="FB218" s="321"/>
      <c r="FC218" s="321"/>
      <c r="FD218" s="321"/>
      <c r="FE218" s="321"/>
      <c r="FF218" s="321"/>
      <c r="FG218" s="321"/>
      <c r="FH218" s="321"/>
      <c r="FI218" s="321"/>
      <c r="FJ218" s="321"/>
      <c r="FK218" s="321"/>
      <c r="FL218" s="321"/>
      <c r="FM218" s="321"/>
      <c r="FN218" s="321"/>
      <c r="FO218" s="321"/>
      <c r="FP218" s="321"/>
      <c r="FQ218" s="321"/>
      <c r="FR218" s="321"/>
      <c r="FS218" s="321"/>
      <c r="FT218" s="321"/>
      <c r="FU218" s="321"/>
      <c r="FV218" s="321"/>
      <c r="FW218" s="321"/>
      <c r="FX218" s="321"/>
      <c r="FY218" s="321"/>
      <c r="FZ218" s="321"/>
      <c r="GA218" s="321"/>
      <c r="GB218" s="321"/>
      <c r="GC218" s="321"/>
      <c r="GD218" s="321"/>
      <c r="GE218" s="321"/>
      <c r="GF218" s="321"/>
      <c r="GG218" s="321"/>
      <c r="GH218" s="321"/>
      <c r="GI218" s="321"/>
      <c r="GJ218" s="321"/>
      <c r="GK218" s="321"/>
      <c r="GL218" s="321"/>
      <c r="GM218" s="321"/>
      <c r="GN218" s="321"/>
      <c r="GO218" s="321"/>
      <c r="GP218" s="321"/>
      <c r="GQ218" s="321"/>
      <c r="GR218" s="321"/>
      <c r="GS218" s="321"/>
      <c r="GT218" s="321"/>
      <c r="GU218" s="321"/>
      <c r="GV218" s="321"/>
      <c r="GW218" s="321"/>
      <c r="GX218" s="321"/>
      <c r="GY218" s="321"/>
      <c r="GZ218" s="321"/>
      <c r="HA218" s="321"/>
      <c r="HB218" s="321"/>
      <c r="HC218" s="321"/>
      <c r="HD218" s="321"/>
      <c r="HE218" s="321"/>
      <c r="HF218" s="321"/>
      <c r="HG218" s="321"/>
      <c r="HH218" s="321"/>
      <c r="HI218" s="321"/>
      <c r="HJ218" s="321"/>
      <c r="HK218" s="321"/>
      <c r="HL218" s="321"/>
      <c r="HM218" s="321"/>
      <c r="HN218" s="321"/>
      <c r="HO218" s="321"/>
      <c r="HP218" s="321"/>
      <c r="HQ218" s="321"/>
      <c r="HR218" s="321"/>
      <c r="HS218" s="321"/>
      <c r="HT218" s="321"/>
      <c r="HU218" s="321"/>
      <c r="HV218" s="321"/>
      <c r="HW218" s="321"/>
      <c r="HX218" s="321"/>
      <c r="HY218" s="321"/>
      <c r="HZ218" s="321"/>
      <c r="IA218" s="321"/>
      <c r="IB218" s="321"/>
      <c r="IC218" s="321"/>
      <c r="ID218" s="321"/>
      <c r="IE218" s="321"/>
      <c r="IF218" s="321"/>
    </row>
    <row r="219" spans="1:240" ht="15" customHeight="1">
      <c r="A219" s="751" t="s">
        <v>701</v>
      </c>
      <c r="B219" s="751"/>
      <c r="C219" s="751"/>
      <c r="D219" s="751"/>
      <c r="E219" s="751"/>
      <c r="F219" s="751"/>
      <c r="G219" s="354" t="s">
        <v>702</v>
      </c>
      <c r="H219" s="338">
        <f t="shared" si="14"/>
        <v>0</v>
      </c>
      <c r="I219" s="340">
        <f t="shared" si="14"/>
        <v>0</v>
      </c>
      <c r="J219" s="338">
        <f t="shared" si="14"/>
        <v>0</v>
      </c>
      <c r="K219" s="344" t="s">
        <v>700</v>
      </c>
      <c r="L219" s="325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  <c r="W219" s="321"/>
      <c r="X219" s="321"/>
      <c r="Y219" s="321"/>
      <c r="Z219" s="321"/>
      <c r="AA219" s="321"/>
      <c r="AB219" s="321"/>
      <c r="AC219" s="321"/>
      <c r="AD219" s="321"/>
      <c r="AE219" s="321"/>
      <c r="AF219" s="321"/>
      <c r="AG219" s="321"/>
      <c r="AH219" s="321"/>
      <c r="AI219" s="321"/>
      <c r="AJ219" s="321"/>
      <c r="AK219" s="321"/>
      <c r="AL219" s="321"/>
      <c r="AM219" s="321"/>
      <c r="AN219" s="321"/>
      <c r="AO219" s="321"/>
      <c r="AP219" s="321"/>
      <c r="AQ219" s="321"/>
      <c r="AR219" s="321"/>
      <c r="AS219" s="321"/>
      <c r="AT219" s="321"/>
      <c r="AU219" s="321"/>
      <c r="AV219" s="321"/>
      <c r="AW219" s="321"/>
      <c r="AX219" s="321"/>
      <c r="AY219" s="321"/>
      <c r="AZ219" s="321"/>
      <c r="BA219" s="321"/>
      <c r="BB219" s="321"/>
      <c r="BC219" s="321"/>
      <c r="BD219" s="321"/>
      <c r="BE219" s="321"/>
      <c r="BF219" s="321"/>
      <c r="BG219" s="321"/>
      <c r="BH219" s="321"/>
      <c r="BI219" s="321"/>
      <c r="BJ219" s="321"/>
      <c r="BK219" s="321"/>
      <c r="BL219" s="321"/>
      <c r="BM219" s="321"/>
      <c r="BN219" s="321"/>
      <c r="BO219" s="321"/>
      <c r="BP219" s="321"/>
      <c r="BQ219" s="321"/>
      <c r="BR219" s="321"/>
      <c r="BS219" s="321"/>
      <c r="BT219" s="321"/>
      <c r="BU219" s="321"/>
      <c r="BV219" s="321"/>
      <c r="BW219" s="321"/>
      <c r="BX219" s="321"/>
      <c r="BY219" s="321"/>
      <c r="BZ219" s="321"/>
      <c r="CA219" s="321"/>
      <c r="CB219" s="321"/>
      <c r="CC219" s="321"/>
      <c r="CD219" s="321"/>
      <c r="CE219" s="321"/>
      <c r="CF219" s="321"/>
      <c r="CG219" s="321"/>
      <c r="CH219" s="321"/>
      <c r="CI219" s="321"/>
      <c r="CJ219" s="321"/>
      <c r="CK219" s="321"/>
      <c r="CL219" s="321"/>
      <c r="CM219" s="321"/>
      <c r="CN219" s="321"/>
      <c r="CO219" s="321"/>
      <c r="CP219" s="321"/>
      <c r="CQ219" s="321"/>
      <c r="CR219" s="321"/>
      <c r="CS219" s="321"/>
      <c r="CT219" s="321"/>
      <c r="CU219" s="321"/>
      <c r="CV219" s="321"/>
      <c r="CW219" s="321"/>
      <c r="CX219" s="321"/>
      <c r="CY219" s="321"/>
      <c r="CZ219" s="321"/>
      <c r="DA219" s="321"/>
      <c r="DB219" s="321"/>
      <c r="DC219" s="321"/>
      <c r="DD219" s="321"/>
      <c r="DE219" s="321"/>
      <c r="DF219" s="321"/>
      <c r="DG219" s="321"/>
      <c r="DH219" s="321"/>
      <c r="DI219" s="321"/>
      <c r="DJ219" s="321"/>
      <c r="DK219" s="321"/>
      <c r="DL219" s="321"/>
      <c r="DM219" s="321"/>
      <c r="DN219" s="321"/>
      <c r="DO219" s="321"/>
      <c r="DP219" s="321"/>
      <c r="DQ219" s="321"/>
      <c r="DR219" s="321"/>
      <c r="DS219" s="321"/>
      <c r="DT219" s="321"/>
      <c r="DU219" s="321"/>
      <c r="DV219" s="321"/>
      <c r="DW219" s="321"/>
      <c r="DX219" s="321"/>
      <c r="DY219" s="321"/>
      <c r="DZ219" s="321"/>
      <c r="EA219" s="321"/>
      <c r="EB219" s="321"/>
      <c r="EC219" s="321"/>
      <c r="ED219" s="321"/>
      <c r="EE219" s="321"/>
      <c r="EF219" s="321"/>
      <c r="EG219" s="321"/>
      <c r="EH219" s="321"/>
      <c r="EI219" s="321"/>
      <c r="EJ219" s="321"/>
      <c r="EK219" s="321"/>
      <c r="EL219" s="321"/>
      <c r="EM219" s="321"/>
      <c r="EN219" s="321"/>
      <c r="EO219" s="321"/>
      <c r="EP219" s="321"/>
      <c r="EQ219" s="321"/>
      <c r="ER219" s="321"/>
      <c r="ES219" s="321"/>
      <c r="ET219" s="321"/>
      <c r="EU219" s="321"/>
      <c r="EV219" s="321"/>
      <c r="EW219" s="321"/>
      <c r="EX219" s="321"/>
      <c r="EY219" s="321"/>
      <c r="EZ219" s="321"/>
      <c r="FA219" s="321"/>
      <c r="FB219" s="321"/>
      <c r="FC219" s="321"/>
      <c r="FD219" s="321"/>
      <c r="FE219" s="321"/>
      <c r="FF219" s="321"/>
      <c r="FG219" s="321"/>
      <c r="FH219" s="321"/>
      <c r="FI219" s="321"/>
      <c r="FJ219" s="321"/>
      <c r="FK219" s="321"/>
      <c r="FL219" s="321"/>
      <c r="FM219" s="321"/>
      <c r="FN219" s="321"/>
      <c r="FO219" s="321"/>
      <c r="FP219" s="321"/>
      <c r="FQ219" s="321"/>
      <c r="FR219" s="321"/>
      <c r="FS219" s="321"/>
      <c r="FT219" s="321"/>
      <c r="FU219" s="321"/>
      <c r="FV219" s="321"/>
      <c r="FW219" s="321"/>
      <c r="FX219" s="321"/>
      <c r="FY219" s="321"/>
      <c r="FZ219" s="321"/>
      <c r="GA219" s="321"/>
      <c r="GB219" s="321"/>
      <c r="GC219" s="321"/>
      <c r="GD219" s="321"/>
      <c r="GE219" s="321"/>
      <c r="GF219" s="321"/>
      <c r="GG219" s="321"/>
      <c r="GH219" s="321"/>
      <c r="GI219" s="321"/>
      <c r="GJ219" s="321"/>
      <c r="GK219" s="321"/>
      <c r="GL219" s="321"/>
      <c r="GM219" s="321"/>
      <c r="GN219" s="321"/>
      <c r="GO219" s="321"/>
      <c r="GP219" s="321"/>
      <c r="GQ219" s="321"/>
      <c r="GR219" s="321"/>
      <c r="GS219" s="321"/>
      <c r="GT219" s="321"/>
      <c r="GU219" s="321"/>
      <c r="GV219" s="321"/>
      <c r="GW219" s="321"/>
      <c r="GX219" s="321"/>
      <c r="GY219" s="321"/>
      <c r="GZ219" s="321"/>
      <c r="HA219" s="321"/>
      <c r="HB219" s="321"/>
      <c r="HC219" s="321"/>
      <c r="HD219" s="321"/>
      <c r="HE219" s="321"/>
      <c r="HF219" s="321"/>
      <c r="HG219" s="321"/>
      <c r="HH219" s="321"/>
      <c r="HI219" s="321"/>
      <c r="HJ219" s="321"/>
      <c r="HK219" s="321"/>
      <c r="HL219" s="321"/>
      <c r="HM219" s="321"/>
      <c r="HN219" s="321"/>
      <c r="HO219" s="321"/>
      <c r="HP219" s="321"/>
      <c r="HQ219" s="321"/>
      <c r="HR219" s="321"/>
      <c r="HS219" s="321"/>
      <c r="HT219" s="321"/>
      <c r="HU219" s="321"/>
      <c r="HV219" s="321"/>
      <c r="HW219" s="321"/>
      <c r="HX219" s="321"/>
      <c r="HY219" s="321"/>
      <c r="HZ219" s="321"/>
      <c r="IA219" s="321"/>
      <c r="IB219" s="321"/>
      <c r="IC219" s="321"/>
      <c r="ID219" s="321"/>
      <c r="IE219" s="321"/>
      <c r="IF219" s="321"/>
    </row>
    <row r="220" spans="1:240" ht="15" customHeight="1">
      <c r="A220" s="751" t="s">
        <v>703</v>
      </c>
      <c r="B220" s="751"/>
      <c r="C220" s="751"/>
      <c r="D220" s="751"/>
      <c r="E220" s="751"/>
      <c r="F220" s="751"/>
      <c r="G220" s="354" t="s">
        <v>529</v>
      </c>
      <c r="H220" s="338">
        <f t="shared" si="14"/>
        <v>88.85</v>
      </c>
      <c r="I220" s="340">
        <f t="shared" si="14"/>
        <v>349</v>
      </c>
      <c r="J220" s="338">
        <f t="shared" si="14"/>
        <v>5614.42</v>
      </c>
      <c r="K220" s="344" t="s">
        <v>698</v>
      </c>
      <c r="L220" s="325" t="s">
        <v>512</v>
      </c>
      <c r="M220" s="338">
        <f>M210+M215</f>
        <v>693.8900000000001</v>
      </c>
      <c r="N220" s="338">
        <f>N210+N215</f>
        <v>13344.215600000001</v>
      </c>
      <c r="O220" s="321" t="s">
        <v>513</v>
      </c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  <c r="Z220" s="321"/>
      <c r="AA220" s="321"/>
      <c r="AB220" s="321"/>
      <c r="AC220" s="321"/>
      <c r="AD220" s="321"/>
      <c r="AE220" s="321"/>
      <c r="AF220" s="321"/>
      <c r="AG220" s="321"/>
      <c r="AH220" s="321"/>
      <c r="AI220" s="321"/>
      <c r="AJ220" s="321"/>
      <c r="AK220" s="321"/>
      <c r="AL220" s="321"/>
      <c r="AM220" s="321"/>
      <c r="AN220" s="321"/>
      <c r="AO220" s="321"/>
      <c r="AP220" s="321"/>
      <c r="AQ220" s="321"/>
      <c r="AR220" s="321"/>
      <c r="AS220" s="321"/>
      <c r="AT220" s="321"/>
      <c r="AU220" s="321"/>
      <c r="AV220" s="321"/>
      <c r="AW220" s="321"/>
      <c r="AX220" s="321"/>
      <c r="AY220" s="321"/>
      <c r="AZ220" s="321"/>
      <c r="BA220" s="321"/>
      <c r="BB220" s="321"/>
      <c r="BC220" s="321"/>
      <c r="BD220" s="321"/>
      <c r="BE220" s="321"/>
      <c r="BF220" s="321"/>
      <c r="BG220" s="321"/>
      <c r="BH220" s="321"/>
      <c r="BI220" s="321"/>
      <c r="BJ220" s="321"/>
      <c r="BK220" s="321"/>
      <c r="BL220" s="321"/>
      <c r="BM220" s="321"/>
      <c r="BN220" s="321"/>
      <c r="BO220" s="321"/>
      <c r="BP220" s="321"/>
      <c r="BQ220" s="321"/>
      <c r="BR220" s="321"/>
      <c r="BS220" s="321"/>
      <c r="BT220" s="321"/>
      <c r="BU220" s="321"/>
      <c r="BV220" s="321"/>
      <c r="BW220" s="321"/>
      <c r="BX220" s="321"/>
      <c r="BY220" s="321"/>
      <c r="BZ220" s="321"/>
      <c r="CA220" s="321"/>
      <c r="CB220" s="321"/>
      <c r="CC220" s="321"/>
      <c r="CD220" s="321"/>
      <c r="CE220" s="321"/>
      <c r="CF220" s="321"/>
      <c r="CG220" s="321"/>
      <c r="CH220" s="321"/>
      <c r="CI220" s="321"/>
      <c r="CJ220" s="321"/>
      <c r="CK220" s="321"/>
      <c r="CL220" s="321"/>
      <c r="CM220" s="321"/>
      <c r="CN220" s="321"/>
      <c r="CO220" s="321"/>
      <c r="CP220" s="321"/>
      <c r="CQ220" s="321"/>
      <c r="CR220" s="321"/>
      <c r="CS220" s="321"/>
      <c r="CT220" s="321"/>
      <c r="CU220" s="321"/>
      <c r="CV220" s="321"/>
      <c r="CW220" s="321"/>
      <c r="CX220" s="321"/>
      <c r="CY220" s="321"/>
      <c r="CZ220" s="321"/>
      <c r="DA220" s="321"/>
      <c r="DB220" s="321"/>
      <c r="DC220" s="321"/>
      <c r="DD220" s="321"/>
      <c r="DE220" s="321"/>
      <c r="DF220" s="321"/>
      <c r="DG220" s="321"/>
      <c r="DH220" s="321"/>
      <c r="DI220" s="321"/>
      <c r="DJ220" s="321"/>
      <c r="DK220" s="321"/>
      <c r="DL220" s="321"/>
      <c r="DM220" s="321"/>
      <c r="DN220" s="321"/>
      <c r="DO220" s="321"/>
      <c r="DP220" s="321"/>
      <c r="DQ220" s="321"/>
      <c r="DR220" s="321"/>
      <c r="DS220" s="321"/>
      <c r="DT220" s="321"/>
      <c r="DU220" s="321"/>
      <c r="DV220" s="321"/>
      <c r="DW220" s="321"/>
      <c r="DX220" s="321"/>
      <c r="DY220" s="321"/>
      <c r="DZ220" s="321"/>
      <c r="EA220" s="321"/>
      <c r="EB220" s="321"/>
      <c r="EC220" s="321"/>
      <c r="ED220" s="321"/>
      <c r="EE220" s="321"/>
      <c r="EF220" s="321"/>
      <c r="EG220" s="321"/>
      <c r="EH220" s="321"/>
      <c r="EI220" s="321"/>
      <c r="EJ220" s="321"/>
      <c r="EK220" s="321"/>
      <c r="EL220" s="321"/>
      <c r="EM220" s="321"/>
      <c r="EN220" s="321"/>
      <c r="EO220" s="321"/>
      <c r="EP220" s="321"/>
      <c r="EQ220" s="321"/>
      <c r="ER220" s="321"/>
      <c r="ES220" s="321"/>
      <c r="ET220" s="321"/>
      <c r="EU220" s="321"/>
      <c r="EV220" s="321"/>
      <c r="EW220" s="321"/>
      <c r="EX220" s="321"/>
      <c r="EY220" s="321"/>
      <c r="EZ220" s="321"/>
      <c r="FA220" s="321"/>
      <c r="FB220" s="321"/>
      <c r="FC220" s="321"/>
      <c r="FD220" s="321"/>
      <c r="FE220" s="321"/>
      <c r="FF220" s="321"/>
      <c r="FG220" s="321"/>
      <c r="FH220" s="321"/>
      <c r="FI220" s="321"/>
      <c r="FJ220" s="321"/>
      <c r="FK220" s="321"/>
      <c r="FL220" s="321"/>
      <c r="FM220" s="321"/>
      <c r="FN220" s="321"/>
      <c r="FO220" s="321"/>
      <c r="FP220" s="321"/>
      <c r="FQ220" s="321"/>
      <c r="FR220" s="321"/>
      <c r="FS220" s="321"/>
      <c r="FT220" s="321"/>
      <c r="FU220" s="321"/>
      <c r="FV220" s="321"/>
      <c r="FW220" s="321"/>
      <c r="FX220" s="321"/>
      <c r="FY220" s="321"/>
      <c r="FZ220" s="321"/>
      <c r="GA220" s="321"/>
      <c r="GB220" s="321"/>
      <c r="GC220" s="321"/>
      <c r="GD220" s="321"/>
      <c r="GE220" s="321"/>
      <c r="GF220" s="321"/>
      <c r="GG220" s="321"/>
      <c r="GH220" s="321"/>
      <c r="GI220" s="321"/>
      <c r="GJ220" s="321"/>
      <c r="GK220" s="321"/>
      <c r="GL220" s="321"/>
      <c r="GM220" s="321"/>
      <c r="GN220" s="321"/>
      <c r="GO220" s="321"/>
      <c r="GP220" s="321"/>
      <c r="GQ220" s="321"/>
      <c r="GR220" s="321"/>
      <c r="GS220" s="321"/>
      <c r="GT220" s="321"/>
      <c r="GU220" s="321"/>
      <c r="GV220" s="321"/>
      <c r="GW220" s="321"/>
      <c r="GX220" s="321"/>
      <c r="GY220" s="321"/>
      <c r="GZ220" s="321"/>
      <c r="HA220" s="321"/>
      <c r="HB220" s="321"/>
      <c r="HC220" s="321"/>
      <c r="HD220" s="321"/>
      <c r="HE220" s="321"/>
      <c r="HF220" s="321"/>
      <c r="HG220" s="321"/>
      <c r="HH220" s="321"/>
      <c r="HI220" s="321"/>
      <c r="HJ220" s="321"/>
      <c r="HK220" s="321"/>
      <c r="HL220" s="321"/>
      <c r="HM220" s="321"/>
      <c r="HN220" s="321"/>
      <c r="HO220" s="321"/>
      <c r="HP220" s="321"/>
      <c r="HQ220" s="321"/>
      <c r="HR220" s="321"/>
      <c r="HS220" s="321"/>
      <c r="HT220" s="321"/>
      <c r="HU220" s="321"/>
      <c r="HV220" s="321"/>
      <c r="HW220" s="321"/>
      <c r="HX220" s="321"/>
      <c r="HY220" s="321"/>
      <c r="HZ220" s="321"/>
      <c r="IA220" s="321"/>
      <c r="IB220" s="321"/>
      <c r="IC220" s="321"/>
      <c r="ID220" s="321"/>
      <c r="IE220" s="321"/>
      <c r="IF220" s="321"/>
    </row>
    <row r="221" spans="1:240" ht="15" customHeight="1">
      <c r="A221" s="751" t="s">
        <v>704</v>
      </c>
      <c r="B221" s="751"/>
      <c r="C221" s="751"/>
      <c r="D221" s="751"/>
      <c r="E221" s="751"/>
      <c r="F221" s="751"/>
      <c r="G221" s="354" t="s">
        <v>516</v>
      </c>
      <c r="H221" s="338">
        <f t="shared" si="14"/>
        <v>40.19</v>
      </c>
      <c r="I221" s="340">
        <f t="shared" si="14"/>
        <v>329</v>
      </c>
      <c r="J221" s="338">
        <f t="shared" si="14"/>
        <v>4970.49</v>
      </c>
      <c r="K221" s="344" t="s">
        <v>705</v>
      </c>
      <c r="L221" s="325" t="s">
        <v>512</v>
      </c>
      <c r="M221" s="338">
        <f>M211+M216</f>
        <v>629.53</v>
      </c>
      <c r="N221" s="338">
        <f>N211+N216</f>
        <v>10171.264700000002</v>
      </c>
      <c r="O221" s="321" t="s">
        <v>513</v>
      </c>
      <c r="P221" s="321"/>
      <c r="Q221" s="321"/>
      <c r="R221" s="321"/>
      <c r="S221" s="321"/>
      <c r="T221" s="321"/>
      <c r="U221" s="321"/>
      <c r="V221" s="321"/>
      <c r="W221" s="321"/>
      <c r="X221" s="321"/>
      <c r="Y221" s="321"/>
      <c r="Z221" s="321"/>
      <c r="AA221" s="321"/>
      <c r="AB221" s="321"/>
      <c r="AC221" s="321"/>
      <c r="AD221" s="321"/>
      <c r="AE221" s="321"/>
      <c r="AF221" s="321"/>
      <c r="AG221" s="321"/>
      <c r="AH221" s="321"/>
      <c r="AI221" s="321"/>
      <c r="AJ221" s="321"/>
      <c r="AK221" s="321"/>
      <c r="AL221" s="321"/>
      <c r="AM221" s="321"/>
      <c r="AN221" s="321"/>
      <c r="AO221" s="321"/>
      <c r="AP221" s="321"/>
      <c r="AQ221" s="321"/>
      <c r="AR221" s="321"/>
      <c r="AS221" s="321"/>
      <c r="AT221" s="321"/>
      <c r="AU221" s="321"/>
      <c r="AV221" s="321"/>
      <c r="AW221" s="321"/>
      <c r="AX221" s="321"/>
      <c r="AY221" s="321"/>
      <c r="AZ221" s="321"/>
      <c r="BA221" s="321"/>
      <c r="BB221" s="321"/>
      <c r="BC221" s="321"/>
      <c r="BD221" s="321"/>
      <c r="BE221" s="321"/>
      <c r="BF221" s="321"/>
      <c r="BG221" s="321"/>
      <c r="BH221" s="321"/>
      <c r="BI221" s="321"/>
      <c r="BJ221" s="321"/>
      <c r="BK221" s="321"/>
      <c r="BL221" s="321"/>
      <c r="BM221" s="321"/>
      <c r="BN221" s="321"/>
      <c r="BO221" s="321"/>
      <c r="BP221" s="321"/>
      <c r="BQ221" s="321"/>
      <c r="BR221" s="321"/>
      <c r="BS221" s="321"/>
      <c r="BT221" s="321"/>
      <c r="BU221" s="321"/>
      <c r="BV221" s="321"/>
      <c r="BW221" s="321"/>
      <c r="BX221" s="321"/>
      <c r="BY221" s="321"/>
      <c r="BZ221" s="321"/>
      <c r="CA221" s="321"/>
      <c r="CB221" s="321"/>
      <c r="CC221" s="321"/>
      <c r="CD221" s="321"/>
      <c r="CE221" s="321"/>
      <c r="CF221" s="321"/>
      <c r="CG221" s="321"/>
      <c r="CH221" s="321"/>
      <c r="CI221" s="321"/>
      <c r="CJ221" s="321"/>
      <c r="CK221" s="321"/>
      <c r="CL221" s="321"/>
      <c r="CM221" s="321"/>
      <c r="CN221" s="321"/>
      <c r="CO221" s="321"/>
      <c r="CP221" s="321"/>
      <c r="CQ221" s="321"/>
      <c r="CR221" s="321"/>
      <c r="CS221" s="321"/>
      <c r="CT221" s="321"/>
      <c r="CU221" s="321"/>
      <c r="CV221" s="321"/>
      <c r="CW221" s="321"/>
      <c r="CX221" s="321"/>
      <c r="CY221" s="321"/>
      <c r="CZ221" s="321"/>
      <c r="DA221" s="321"/>
      <c r="DB221" s="321"/>
      <c r="DC221" s="321"/>
      <c r="DD221" s="321"/>
      <c r="DE221" s="321"/>
      <c r="DF221" s="321"/>
      <c r="DG221" s="321"/>
      <c r="DH221" s="321"/>
      <c r="DI221" s="321"/>
      <c r="DJ221" s="321"/>
      <c r="DK221" s="321"/>
      <c r="DL221" s="321"/>
      <c r="DM221" s="321"/>
      <c r="DN221" s="321"/>
      <c r="DO221" s="321"/>
      <c r="DP221" s="321"/>
      <c r="DQ221" s="321"/>
      <c r="DR221" s="321"/>
      <c r="DS221" s="321"/>
      <c r="DT221" s="321"/>
      <c r="DU221" s="321"/>
      <c r="DV221" s="321"/>
      <c r="DW221" s="321"/>
      <c r="DX221" s="321"/>
      <c r="DY221" s="321"/>
      <c r="DZ221" s="321"/>
      <c r="EA221" s="321"/>
      <c r="EB221" s="321"/>
      <c r="EC221" s="321"/>
      <c r="ED221" s="321"/>
      <c r="EE221" s="321"/>
      <c r="EF221" s="321"/>
      <c r="EG221" s="321"/>
      <c r="EH221" s="321"/>
      <c r="EI221" s="321"/>
      <c r="EJ221" s="321"/>
      <c r="EK221" s="321"/>
      <c r="EL221" s="321"/>
      <c r="EM221" s="321"/>
      <c r="EN221" s="321"/>
      <c r="EO221" s="321"/>
      <c r="EP221" s="321"/>
      <c r="EQ221" s="321"/>
      <c r="ER221" s="321"/>
      <c r="ES221" s="321"/>
      <c r="ET221" s="321"/>
      <c r="EU221" s="321"/>
      <c r="EV221" s="321"/>
      <c r="EW221" s="321"/>
      <c r="EX221" s="321"/>
      <c r="EY221" s="321"/>
      <c r="EZ221" s="321"/>
      <c r="FA221" s="321"/>
      <c r="FB221" s="321"/>
      <c r="FC221" s="321"/>
      <c r="FD221" s="321"/>
      <c r="FE221" s="321"/>
      <c r="FF221" s="321"/>
      <c r="FG221" s="321"/>
      <c r="FH221" s="321"/>
      <c r="FI221" s="321"/>
      <c r="FJ221" s="321"/>
      <c r="FK221" s="321"/>
      <c r="FL221" s="321"/>
      <c r="FM221" s="321"/>
      <c r="FN221" s="321"/>
      <c r="FO221" s="321"/>
      <c r="FP221" s="321"/>
      <c r="FQ221" s="321"/>
      <c r="FR221" s="321"/>
      <c r="FS221" s="321"/>
      <c r="FT221" s="321"/>
      <c r="FU221" s="321"/>
      <c r="FV221" s="321"/>
      <c r="FW221" s="321"/>
      <c r="FX221" s="321"/>
      <c r="FY221" s="321"/>
      <c r="FZ221" s="321"/>
      <c r="GA221" s="321"/>
      <c r="GB221" s="321"/>
      <c r="GC221" s="321"/>
      <c r="GD221" s="321"/>
      <c r="GE221" s="321"/>
      <c r="GF221" s="321"/>
      <c r="GG221" s="321"/>
      <c r="GH221" s="321"/>
      <c r="GI221" s="321"/>
      <c r="GJ221" s="321"/>
      <c r="GK221" s="321"/>
      <c r="GL221" s="321"/>
      <c r="GM221" s="321"/>
      <c r="GN221" s="321"/>
      <c r="GO221" s="321"/>
      <c r="GP221" s="321"/>
      <c r="GQ221" s="321"/>
      <c r="GR221" s="321"/>
      <c r="GS221" s="321"/>
      <c r="GT221" s="321"/>
      <c r="GU221" s="321"/>
      <c r="GV221" s="321"/>
      <c r="GW221" s="321"/>
      <c r="GX221" s="321"/>
      <c r="GY221" s="321"/>
      <c r="GZ221" s="321"/>
      <c r="HA221" s="321"/>
      <c r="HB221" s="321"/>
      <c r="HC221" s="321"/>
      <c r="HD221" s="321"/>
      <c r="HE221" s="321"/>
      <c r="HF221" s="321"/>
      <c r="HG221" s="321"/>
      <c r="HH221" s="321"/>
      <c r="HI221" s="321"/>
      <c r="HJ221" s="321"/>
      <c r="HK221" s="321"/>
      <c r="HL221" s="321"/>
      <c r="HM221" s="321"/>
      <c r="HN221" s="321"/>
      <c r="HO221" s="321"/>
      <c r="HP221" s="321"/>
      <c r="HQ221" s="321"/>
      <c r="HR221" s="321"/>
      <c r="HS221" s="321"/>
      <c r="HT221" s="321"/>
      <c r="HU221" s="321"/>
      <c r="HV221" s="321"/>
      <c r="HW221" s="321"/>
      <c r="HX221" s="321"/>
      <c r="HY221" s="321"/>
      <c r="HZ221" s="321"/>
      <c r="IA221" s="321"/>
      <c r="IB221" s="321"/>
      <c r="IC221" s="321"/>
      <c r="ID221" s="321"/>
      <c r="IE221" s="321"/>
      <c r="IF221" s="321"/>
    </row>
  </sheetData>
  <sheetProtection/>
  <mergeCells count="26">
    <mergeCell ref="A221:F221"/>
    <mergeCell ref="A5:A7"/>
    <mergeCell ref="B5:B7"/>
    <mergeCell ref="C5:E7"/>
    <mergeCell ref="F5:F7"/>
    <mergeCell ref="G5:G7"/>
    <mergeCell ref="A207:F207"/>
    <mergeCell ref="A208:F208"/>
    <mergeCell ref="A209:F209"/>
    <mergeCell ref="A210:F210"/>
    <mergeCell ref="A211:F211"/>
    <mergeCell ref="A212:F212"/>
    <mergeCell ref="A217:F217"/>
    <mergeCell ref="A218:F218"/>
    <mergeCell ref="A219:F219"/>
    <mergeCell ref="A220:F220"/>
    <mergeCell ref="A213:F213"/>
    <mergeCell ref="A214:F214"/>
    <mergeCell ref="A215:F215"/>
    <mergeCell ref="A216:F216"/>
    <mergeCell ref="K5:K7"/>
    <mergeCell ref="J5:J7"/>
    <mergeCell ref="H5:H7"/>
    <mergeCell ref="I5:I7"/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41"/>
  <sheetViews>
    <sheetView zoomScalePageLayoutView="0" workbookViewId="0" topLeftCell="A62">
      <selection activeCell="J35" sqref="J35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3.421875" style="0" customWidth="1"/>
    <col min="4" max="4" width="21.57421875" style="0" customWidth="1"/>
    <col min="5" max="5" width="7.140625" style="0" customWidth="1"/>
    <col min="6" max="6" width="25.140625" style="0" customWidth="1"/>
    <col min="7" max="9" width="25.7109375" style="0" customWidth="1"/>
  </cols>
  <sheetData>
    <row r="1" spans="1:9" s="162" customFormat="1" ht="32.25" customHeight="1">
      <c r="A1" s="746" t="s">
        <v>253</v>
      </c>
      <c r="B1" s="746"/>
      <c r="C1" s="746"/>
      <c r="D1" s="746"/>
      <c r="E1" s="746"/>
      <c r="F1" s="746"/>
      <c r="G1" s="746"/>
      <c r="H1" s="746"/>
      <c r="I1" s="161"/>
    </row>
    <row r="2" spans="1:9" s="162" customFormat="1" ht="20.25">
      <c r="A2" s="747" t="s">
        <v>385</v>
      </c>
      <c r="B2" s="747"/>
      <c r="C2" s="747"/>
      <c r="D2" s="747"/>
      <c r="E2" s="747"/>
      <c r="F2" s="747"/>
      <c r="G2" s="747"/>
      <c r="H2" s="747"/>
      <c r="I2" s="163"/>
    </row>
    <row r="3" spans="1:9" s="162" customFormat="1" ht="15.75">
      <c r="A3" s="164"/>
      <c r="B3" s="164"/>
      <c r="C3" s="164"/>
      <c r="D3" s="164"/>
      <c r="E3" s="164"/>
      <c r="F3" s="164"/>
      <c r="G3" s="164"/>
      <c r="H3" s="164"/>
      <c r="I3" s="164"/>
    </row>
    <row r="4" spans="1:9" s="162" customFormat="1" ht="15.75" customHeight="1">
      <c r="A4" s="760" t="s">
        <v>237</v>
      </c>
      <c r="B4" s="760" t="s">
        <v>255</v>
      </c>
      <c r="C4" s="761" t="s">
        <v>256</v>
      </c>
      <c r="D4" s="762"/>
      <c r="E4" s="763"/>
      <c r="F4" s="770" t="s">
        <v>257</v>
      </c>
      <c r="G4" s="760" t="s">
        <v>258</v>
      </c>
      <c r="H4" s="760" t="s">
        <v>259</v>
      </c>
      <c r="I4" s="757" t="s">
        <v>260</v>
      </c>
    </row>
    <row r="5" spans="1:9" s="162" customFormat="1" ht="15.75">
      <c r="A5" s="760"/>
      <c r="B5" s="760"/>
      <c r="C5" s="764"/>
      <c r="D5" s="765"/>
      <c r="E5" s="766"/>
      <c r="F5" s="770"/>
      <c r="G5" s="760"/>
      <c r="H5" s="760"/>
      <c r="I5" s="758"/>
    </row>
    <row r="6" spans="1:9" s="169" customFormat="1" ht="102.75" customHeight="1">
      <c r="A6" s="760"/>
      <c r="B6" s="760"/>
      <c r="C6" s="767"/>
      <c r="D6" s="768"/>
      <c r="E6" s="769"/>
      <c r="F6" s="770"/>
      <c r="G6" s="760"/>
      <c r="H6" s="760"/>
      <c r="I6" s="759"/>
    </row>
    <row r="7" spans="1:9" s="169" customFormat="1" ht="19.5" customHeight="1">
      <c r="A7" s="168">
        <v>1</v>
      </c>
      <c r="B7" s="168">
        <v>2</v>
      </c>
      <c r="C7" s="168">
        <v>3</v>
      </c>
      <c r="D7" s="168">
        <v>4</v>
      </c>
      <c r="E7" s="168"/>
      <c r="F7" s="176">
        <v>5</v>
      </c>
      <c r="G7" s="168">
        <v>6</v>
      </c>
      <c r="H7" s="168">
        <v>7</v>
      </c>
      <c r="I7" s="236">
        <v>8</v>
      </c>
    </row>
    <row r="8" spans="1:10" s="127" customFormat="1" ht="34.5" customHeight="1">
      <c r="A8" s="297">
        <v>1</v>
      </c>
      <c r="B8" s="300" t="s">
        <v>386</v>
      </c>
      <c r="C8" s="289" t="s">
        <v>149</v>
      </c>
      <c r="D8" s="290" t="s">
        <v>387</v>
      </c>
      <c r="E8" s="295">
        <v>10</v>
      </c>
      <c r="F8" s="174" t="s">
        <v>263</v>
      </c>
      <c r="G8" s="286">
        <f>53+30/60</f>
        <v>53.5</v>
      </c>
      <c r="H8" s="295">
        <v>58</v>
      </c>
      <c r="I8" s="297">
        <v>50</v>
      </c>
      <c r="J8" s="127">
        <f>G8*I8</f>
        <v>2675</v>
      </c>
    </row>
    <row r="9" spans="1:10" s="127" customFormat="1" ht="34.5" customHeight="1">
      <c r="A9" s="297">
        <v>2</v>
      </c>
      <c r="B9" s="300" t="s">
        <v>388</v>
      </c>
      <c r="C9" s="289" t="s">
        <v>149</v>
      </c>
      <c r="D9" s="290" t="s">
        <v>389</v>
      </c>
      <c r="E9" s="295">
        <v>10</v>
      </c>
      <c r="F9" s="174" t="s">
        <v>263</v>
      </c>
      <c r="G9" s="286">
        <f>20/60</f>
        <v>0.3333333333333333</v>
      </c>
      <c r="H9" s="295">
        <v>1</v>
      </c>
      <c r="I9" s="297">
        <v>1</v>
      </c>
      <c r="J9" s="127">
        <f aca="true" t="shared" si="0" ref="J9:J61">G9*I9</f>
        <v>0.3333333333333333</v>
      </c>
    </row>
    <row r="10" spans="1:10" s="127" customFormat="1" ht="34.5" customHeight="1">
      <c r="A10" s="297">
        <v>3</v>
      </c>
      <c r="B10" s="300" t="s">
        <v>390</v>
      </c>
      <c r="C10" s="289" t="s">
        <v>149</v>
      </c>
      <c r="D10" s="290" t="s">
        <v>389</v>
      </c>
      <c r="E10" s="295">
        <v>10</v>
      </c>
      <c r="F10" s="174" t="s">
        <v>263</v>
      </c>
      <c r="G10" s="286">
        <f>1+10/60</f>
        <v>1.1666666666666667</v>
      </c>
      <c r="H10" s="295">
        <v>1</v>
      </c>
      <c r="I10" s="297">
        <v>1</v>
      </c>
      <c r="J10" s="127">
        <f t="shared" si="0"/>
        <v>1.1666666666666667</v>
      </c>
    </row>
    <row r="11" spans="1:10" s="127" customFormat="1" ht="34.5" customHeight="1">
      <c r="A11" s="295">
        <v>4</v>
      </c>
      <c r="B11" s="300" t="s">
        <v>388</v>
      </c>
      <c r="C11" s="289" t="s">
        <v>149</v>
      </c>
      <c r="D11" s="290" t="s">
        <v>387</v>
      </c>
      <c r="E11" s="295">
        <v>10</v>
      </c>
      <c r="F11" s="183" t="s">
        <v>263</v>
      </c>
      <c r="G11" s="286">
        <f>9+4/60</f>
        <v>9.066666666666666</v>
      </c>
      <c r="H11" s="295">
        <v>58</v>
      </c>
      <c r="I11" s="297">
        <v>50</v>
      </c>
      <c r="J11" s="127">
        <f t="shared" si="0"/>
        <v>453.3333333333333</v>
      </c>
    </row>
    <row r="12" spans="1:10" s="127" customFormat="1" ht="34.5" customHeight="1">
      <c r="A12" s="295">
        <v>5</v>
      </c>
      <c r="B12" s="300" t="s">
        <v>391</v>
      </c>
      <c r="C12" s="289" t="s">
        <v>149</v>
      </c>
      <c r="D12" s="290" t="s">
        <v>389</v>
      </c>
      <c r="E12" s="295">
        <v>10</v>
      </c>
      <c r="F12" s="183" t="s">
        <v>263</v>
      </c>
      <c r="G12" s="286">
        <f>5+55/60</f>
        <v>5.916666666666667</v>
      </c>
      <c r="H12" s="295">
        <v>1</v>
      </c>
      <c r="I12" s="297">
        <v>1</v>
      </c>
      <c r="J12" s="127">
        <f t="shared" si="0"/>
        <v>5.916666666666667</v>
      </c>
    </row>
    <row r="13" spans="1:10" s="127" customFormat="1" ht="34.5" customHeight="1">
      <c r="A13" s="295">
        <v>6</v>
      </c>
      <c r="B13" s="300" t="s">
        <v>392</v>
      </c>
      <c r="C13" s="289" t="s">
        <v>149</v>
      </c>
      <c r="D13" s="290" t="s">
        <v>393</v>
      </c>
      <c r="E13" s="295">
        <v>10</v>
      </c>
      <c r="F13" s="183" t="s">
        <v>263</v>
      </c>
      <c r="G13" s="286">
        <f>38/60</f>
        <v>0.6333333333333333</v>
      </c>
      <c r="H13" s="295">
        <v>58</v>
      </c>
      <c r="I13" s="297">
        <v>50</v>
      </c>
      <c r="J13" s="127">
        <f t="shared" si="0"/>
        <v>31.666666666666664</v>
      </c>
    </row>
    <row r="14" spans="1:10" s="127" customFormat="1" ht="34.5" customHeight="1">
      <c r="A14" s="295">
        <v>7</v>
      </c>
      <c r="B14" s="300" t="s">
        <v>394</v>
      </c>
      <c r="C14" s="289" t="s">
        <v>149</v>
      </c>
      <c r="D14" s="290" t="s">
        <v>389</v>
      </c>
      <c r="E14" s="295">
        <v>10</v>
      </c>
      <c r="F14" s="183" t="s">
        <v>263</v>
      </c>
      <c r="G14" s="286">
        <f>3+35/60</f>
        <v>3.5833333333333335</v>
      </c>
      <c r="H14" s="295">
        <v>1</v>
      </c>
      <c r="I14" s="297">
        <v>1</v>
      </c>
      <c r="J14" s="127">
        <f t="shared" si="0"/>
        <v>3.5833333333333335</v>
      </c>
    </row>
    <row r="15" spans="1:10" s="127" customFormat="1" ht="34.5" customHeight="1">
      <c r="A15" s="295">
        <v>9</v>
      </c>
      <c r="B15" s="300" t="s">
        <v>395</v>
      </c>
      <c r="C15" s="289" t="s">
        <v>149</v>
      </c>
      <c r="D15" s="291" t="s">
        <v>396</v>
      </c>
      <c r="E15" s="295">
        <v>10</v>
      </c>
      <c r="F15" s="183" t="s">
        <v>263</v>
      </c>
      <c r="G15" s="286">
        <v>0</v>
      </c>
      <c r="H15" s="295">
        <v>0</v>
      </c>
      <c r="I15" s="297">
        <v>0</v>
      </c>
      <c r="J15" s="127">
        <f t="shared" si="0"/>
        <v>0</v>
      </c>
    </row>
    <row r="16" spans="1:10" s="127" customFormat="1" ht="34.5" customHeight="1">
      <c r="A16" s="295">
        <v>11</v>
      </c>
      <c r="B16" s="300" t="s">
        <v>397</v>
      </c>
      <c r="C16" s="289" t="s">
        <v>149</v>
      </c>
      <c r="D16" s="290" t="s">
        <v>398</v>
      </c>
      <c r="E16" s="295">
        <v>10</v>
      </c>
      <c r="F16" s="186" t="s">
        <v>263</v>
      </c>
      <c r="G16" s="286">
        <f>1+10/60</f>
        <v>1.1666666666666667</v>
      </c>
      <c r="H16" s="295">
        <v>1</v>
      </c>
      <c r="I16" s="297">
        <v>1</v>
      </c>
      <c r="J16" s="127">
        <f t="shared" si="0"/>
        <v>1.1666666666666667</v>
      </c>
    </row>
    <row r="17" spans="1:10" s="127" customFormat="1" ht="34.5" customHeight="1">
      <c r="A17" s="295">
        <v>13</v>
      </c>
      <c r="B17" s="300" t="s">
        <v>399</v>
      </c>
      <c r="C17" s="289" t="s">
        <v>149</v>
      </c>
      <c r="D17" s="292" t="s">
        <v>400</v>
      </c>
      <c r="E17" s="295">
        <v>6</v>
      </c>
      <c r="F17" s="183" t="s">
        <v>263</v>
      </c>
      <c r="G17" s="286">
        <f>1+10/60</f>
        <v>1.1666666666666667</v>
      </c>
      <c r="H17" s="295">
        <v>127</v>
      </c>
      <c r="I17" s="297">
        <v>39</v>
      </c>
      <c r="J17" s="127">
        <f t="shared" si="0"/>
        <v>45.5</v>
      </c>
    </row>
    <row r="18" spans="1:10" s="127" customFormat="1" ht="34.5" customHeight="1">
      <c r="A18" s="295">
        <v>14</v>
      </c>
      <c r="B18" s="300"/>
      <c r="C18" s="289" t="s">
        <v>149</v>
      </c>
      <c r="D18" s="293" t="s">
        <v>401</v>
      </c>
      <c r="E18" s="295">
        <v>6</v>
      </c>
      <c r="F18" s="183" t="s">
        <v>263</v>
      </c>
      <c r="G18" s="286">
        <f>55/60</f>
        <v>0.9166666666666666</v>
      </c>
      <c r="H18" s="295">
        <v>21</v>
      </c>
      <c r="I18" s="297">
        <v>13</v>
      </c>
      <c r="J18" s="127">
        <f t="shared" si="0"/>
        <v>11.916666666666666</v>
      </c>
    </row>
    <row r="19" spans="1:10" s="127" customFormat="1" ht="34.5" customHeight="1">
      <c r="A19" s="295">
        <v>15</v>
      </c>
      <c r="B19" s="300" t="s">
        <v>402</v>
      </c>
      <c r="C19" s="289" t="s">
        <v>149</v>
      </c>
      <c r="D19" s="290" t="s">
        <v>403</v>
      </c>
      <c r="E19" s="295">
        <v>6</v>
      </c>
      <c r="F19" s="183" t="s">
        <v>263</v>
      </c>
      <c r="G19" s="286">
        <v>0</v>
      </c>
      <c r="H19" s="295">
        <v>0</v>
      </c>
      <c r="I19" s="297">
        <v>0</v>
      </c>
      <c r="J19" s="127">
        <f t="shared" si="0"/>
        <v>0</v>
      </c>
    </row>
    <row r="20" spans="1:10" s="127" customFormat="1" ht="34.5" customHeight="1">
      <c r="A20" s="295">
        <v>16</v>
      </c>
      <c r="B20" s="300" t="s">
        <v>404</v>
      </c>
      <c r="C20" s="289" t="s">
        <v>149</v>
      </c>
      <c r="D20" s="290" t="s">
        <v>405</v>
      </c>
      <c r="E20" s="295">
        <v>0.4</v>
      </c>
      <c r="F20" s="183" t="s">
        <v>263</v>
      </c>
      <c r="G20" s="286">
        <f>16+5/60</f>
        <v>16.083333333333332</v>
      </c>
      <c r="H20" s="295">
        <v>1</v>
      </c>
      <c r="I20" s="297">
        <v>1</v>
      </c>
      <c r="J20" s="127">
        <f t="shared" si="0"/>
        <v>16.083333333333332</v>
      </c>
    </row>
    <row r="21" spans="1:10" s="127" customFormat="1" ht="34.5" customHeight="1">
      <c r="A21" s="295">
        <v>17</v>
      </c>
      <c r="B21" s="300" t="s">
        <v>406</v>
      </c>
      <c r="C21" s="289" t="s">
        <v>149</v>
      </c>
      <c r="D21" s="290" t="s">
        <v>407</v>
      </c>
      <c r="E21" s="295">
        <v>0.4</v>
      </c>
      <c r="F21" s="183" t="s">
        <v>263</v>
      </c>
      <c r="G21" s="286">
        <f>40/60</f>
        <v>0.6666666666666666</v>
      </c>
      <c r="H21" s="295">
        <v>5</v>
      </c>
      <c r="I21" s="297">
        <v>5</v>
      </c>
      <c r="J21" s="127">
        <f t="shared" si="0"/>
        <v>3.333333333333333</v>
      </c>
    </row>
    <row r="22" spans="1:10" s="127" customFormat="1" ht="34.5" customHeight="1">
      <c r="A22" s="295">
        <v>18</v>
      </c>
      <c r="B22" s="300" t="s">
        <v>408</v>
      </c>
      <c r="C22" s="289" t="s">
        <v>149</v>
      </c>
      <c r="D22" s="290" t="s">
        <v>409</v>
      </c>
      <c r="E22" s="295">
        <v>10</v>
      </c>
      <c r="F22" s="183" t="s">
        <v>263</v>
      </c>
      <c r="G22" s="286">
        <f>20/60</f>
        <v>0.3333333333333333</v>
      </c>
      <c r="H22" s="295">
        <v>10</v>
      </c>
      <c r="I22" s="297">
        <v>4</v>
      </c>
      <c r="J22" s="127">
        <f t="shared" si="0"/>
        <v>1.3333333333333333</v>
      </c>
    </row>
    <row r="23" spans="1:10" s="127" customFormat="1" ht="34.5" customHeight="1">
      <c r="A23" s="295">
        <v>19</v>
      </c>
      <c r="B23" s="300" t="s">
        <v>410</v>
      </c>
      <c r="C23" s="289" t="s">
        <v>149</v>
      </c>
      <c r="D23" s="290" t="s">
        <v>411</v>
      </c>
      <c r="E23" s="295">
        <v>6</v>
      </c>
      <c r="F23" s="183" t="s">
        <v>263</v>
      </c>
      <c r="G23" s="286">
        <f>2+17/60</f>
        <v>2.283333333333333</v>
      </c>
      <c r="H23" s="295">
        <v>98</v>
      </c>
      <c r="I23" s="297">
        <v>48</v>
      </c>
      <c r="J23" s="127">
        <f t="shared" si="0"/>
        <v>109.6</v>
      </c>
    </row>
    <row r="24" spans="1:10" s="127" customFormat="1" ht="34.5" customHeight="1">
      <c r="A24" s="295">
        <v>20</v>
      </c>
      <c r="B24" s="300" t="s">
        <v>412</v>
      </c>
      <c r="C24" s="289" t="s">
        <v>149</v>
      </c>
      <c r="D24" s="290" t="s">
        <v>413</v>
      </c>
      <c r="E24" s="295">
        <v>6</v>
      </c>
      <c r="F24" s="183" t="s">
        <v>263</v>
      </c>
      <c r="G24" s="286">
        <v>0</v>
      </c>
      <c r="H24" s="295">
        <v>0</v>
      </c>
      <c r="I24" s="297">
        <v>0</v>
      </c>
      <c r="J24" s="127">
        <f t="shared" si="0"/>
        <v>0</v>
      </c>
    </row>
    <row r="25" spans="1:10" s="127" customFormat="1" ht="34.5" customHeight="1">
      <c r="A25" s="295">
        <v>24</v>
      </c>
      <c r="B25" s="300" t="s">
        <v>414</v>
      </c>
      <c r="C25" s="289" t="s">
        <v>149</v>
      </c>
      <c r="D25" s="290" t="s">
        <v>415</v>
      </c>
      <c r="E25" s="295">
        <v>6</v>
      </c>
      <c r="F25" s="183" t="s">
        <v>263</v>
      </c>
      <c r="G25" s="286">
        <f>11+15/60</f>
        <v>11.25</v>
      </c>
      <c r="H25" s="295">
        <v>9</v>
      </c>
      <c r="I25" s="297">
        <v>7</v>
      </c>
      <c r="J25" s="127">
        <f t="shared" si="0"/>
        <v>78.75</v>
      </c>
    </row>
    <row r="26" spans="1:10" s="127" customFormat="1" ht="34.5" customHeight="1">
      <c r="A26" s="295">
        <v>25</v>
      </c>
      <c r="B26" s="300" t="s">
        <v>416</v>
      </c>
      <c r="C26" s="289" t="s">
        <v>149</v>
      </c>
      <c r="D26" s="290" t="s">
        <v>417</v>
      </c>
      <c r="E26" s="295">
        <v>6</v>
      </c>
      <c r="F26" s="183" t="s">
        <v>263</v>
      </c>
      <c r="G26" s="286">
        <f>10/60</f>
        <v>0.16666666666666666</v>
      </c>
      <c r="H26" s="295">
        <v>128</v>
      </c>
      <c r="I26" s="297">
        <v>39</v>
      </c>
      <c r="J26" s="127">
        <f t="shared" si="0"/>
        <v>6.5</v>
      </c>
    </row>
    <row r="27" spans="1:10" s="127" customFormat="1" ht="34.5" customHeight="1">
      <c r="A27" s="295">
        <v>26</v>
      </c>
      <c r="B27" s="300" t="s">
        <v>416</v>
      </c>
      <c r="C27" s="289" t="s">
        <v>149</v>
      </c>
      <c r="D27" s="290" t="s">
        <v>418</v>
      </c>
      <c r="E27" s="295">
        <v>6</v>
      </c>
      <c r="F27" s="183" t="s">
        <v>263</v>
      </c>
      <c r="G27" s="286">
        <f>4+55/60</f>
        <v>4.916666666666667</v>
      </c>
      <c r="H27" s="295">
        <v>1</v>
      </c>
      <c r="I27" s="297">
        <v>1</v>
      </c>
      <c r="J27" s="127">
        <f t="shared" si="0"/>
        <v>4.916666666666667</v>
      </c>
    </row>
    <row r="28" spans="1:10" s="127" customFormat="1" ht="34.5" customHeight="1">
      <c r="A28" s="295">
        <v>27</v>
      </c>
      <c r="B28" s="300" t="s">
        <v>419</v>
      </c>
      <c r="C28" s="289" t="s">
        <v>149</v>
      </c>
      <c r="D28" s="290" t="s">
        <v>420</v>
      </c>
      <c r="E28" s="295">
        <v>6</v>
      </c>
      <c r="F28" s="183" t="s">
        <v>263</v>
      </c>
      <c r="G28" s="286">
        <v>0</v>
      </c>
      <c r="H28" s="295">
        <v>0</v>
      </c>
      <c r="I28" s="297">
        <v>0</v>
      </c>
      <c r="J28" s="127">
        <f t="shared" si="0"/>
        <v>0</v>
      </c>
    </row>
    <row r="29" spans="1:10" s="127" customFormat="1" ht="34.5" customHeight="1">
      <c r="A29" s="295">
        <v>28</v>
      </c>
      <c r="B29" s="300" t="s">
        <v>421</v>
      </c>
      <c r="C29" s="289" t="s">
        <v>149</v>
      </c>
      <c r="D29" s="290" t="s">
        <v>422</v>
      </c>
      <c r="E29" s="295">
        <v>6</v>
      </c>
      <c r="F29" s="183" t="s">
        <v>263</v>
      </c>
      <c r="G29" s="286">
        <f>351/60</f>
        <v>5.85</v>
      </c>
      <c r="H29" s="295">
        <v>0</v>
      </c>
      <c r="I29" s="297">
        <v>0</v>
      </c>
      <c r="J29" s="127">
        <f t="shared" si="0"/>
        <v>0</v>
      </c>
    </row>
    <row r="30" spans="1:10" s="127" customFormat="1" ht="34.5" customHeight="1">
      <c r="A30" s="295">
        <v>29</v>
      </c>
      <c r="B30" s="300" t="s">
        <v>423</v>
      </c>
      <c r="C30" s="289" t="s">
        <v>149</v>
      </c>
      <c r="D30" s="290" t="s">
        <v>424</v>
      </c>
      <c r="E30" s="295">
        <v>6</v>
      </c>
      <c r="F30" s="183" t="s">
        <v>263</v>
      </c>
      <c r="G30" s="286">
        <v>0</v>
      </c>
      <c r="H30" s="295">
        <v>0</v>
      </c>
      <c r="I30" s="297">
        <v>0</v>
      </c>
      <c r="J30" s="127">
        <f t="shared" si="0"/>
        <v>0</v>
      </c>
    </row>
    <row r="31" spans="1:10" s="127" customFormat="1" ht="34.5" customHeight="1">
      <c r="A31" s="295">
        <v>30</v>
      </c>
      <c r="B31" s="300" t="s">
        <v>425</v>
      </c>
      <c r="C31" s="289" t="s">
        <v>149</v>
      </c>
      <c r="D31" s="294" t="s">
        <v>426</v>
      </c>
      <c r="E31" s="295">
        <v>6</v>
      </c>
      <c r="F31" s="183" t="s">
        <v>263</v>
      </c>
      <c r="G31" s="286">
        <v>0</v>
      </c>
      <c r="H31" s="295">
        <v>0</v>
      </c>
      <c r="I31" s="297">
        <v>0</v>
      </c>
      <c r="J31" s="127">
        <f t="shared" si="0"/>
        <v>0</v>
      </c>
    </row>
    <row r="32" spans="1:10" s="127" customFormat="1" ht="34.5" customHeight="1">
      <c r="A32" s="295">
        <v>31</v>
      </c>
      <c r="B32" s="300" t="s">
        <v>427</v>
      </c>
      <c r="C32" s="289" t="s">
        <v>149</v>
      </c>
      <c r="D32" s="295" t="s">
        <v>428</v>
      </c>
      <c r="E32" s="295">
        <v>6</v>
      </c>
      <c r="F32" s="176" t="s">
        <v>263</v>
      </c>
      <c r="G32" s="286">
        <f>15/60</f>
        <v>0.25</v>
      </c>
      <c r="H32" s="295">
        <v>9</v>
      </c>
      <c r="I32" s="297">
        <v>6</v>
      </c>
      <c r="J32" s="127">
        <f t="shared" si="0"/>
        <v>1.5</v>
      </c>
    </row>
    <row r="33" spans="1:10" s="127" customFormat="1" ht="34.5" customHeight="1">
      <c r="A33" s="295">
        <v>32</v>
      </c>
      <c r="B33" s="300" t="s">
        <v>429</v>
      </c>
      <c r="C33" s="289" t="s">
        <v>149</v>
      </c>
      <c r="D33" s="295" t="s">
        <v>430</v>
      </c>
      <c r="E33" s="295">
        <v>10</v>
      </c>
      <c r="F33" s="176" t="s">
        <v>263</v>
      </c>
      <c r="G33" s="286">
        <v>0</v>
      </c>
      <c r="H33" s="295">
        <v>0</v>
      </c>
      <c r="I33" s="297">
        <v>0</v>
      </c>
      <c r="J33" s="127">
        <f t="shared" si="0"/>
        <v>0</v>
      </c>
    </row>
    <row r="34" spans="1:10" s="127" customFormat="1" ht="34.5" customHeight="1">
      <c r="A34" s="295">
        <v>33</v>
      </c>
      <c r="B34" s="300" t="s">
        <v>431</v>
      </c>
      <c r="C34" s="289" t="s">
        <v>149</v>
      </c>
      <c r="D34" s="295" t="s">
        <v>432</v>
      </c>
      <c r="E34" s="295">
        <v>6</v>
      </c>
      <c r="F34" s="176" t="s">
        <v>263</v>
      </c>
      <c r="G34" s="286">
        <f>10/60</f>
        <v>0.16666666666666666</v>
      </c>
      <c r="H34" s="295">
        <v>187</v>
      </c>
      <c r="I34" s="297">
        <v>92</v>
      </c>
      <c r="J34" s="127">
        <f>G34*I34</f>
        <v>15.333333333333332</v>
      </c>
    </row>
    <row r="35" spans="1:10" s="127" customFormat="1" ht="34.5" customHeight="1">
      <c r="A35" s="295">
        <v>34</v>
      </c>
      <c r="B35" s="300" t="s">
        <v>433</v>
      </c>
      <c r="C35" s="289" t="s">
        <v>149</v>
      </c>
      <c r="D35" s="295" t="s">
        <v>434</v>
      </c>
      <c r="E35" s="295">
        <v>10</v>
      </c>
      <c r="F35" s="176" t="s">
        <v>263</v>
      </c>
      <c r="G35" s="286">
        <f>55/60</f>
        <v>0.9166666666666666</v>
      </c>
      <c r="H35" s="295">
        <v>60</v>
      </c>
      <c r="I35" s="297">
        <v>48</v>
      </c>
      <c r="J35" s="127">
        <f t="shared" si="0"/>
        <v>44</v>
      </c>
    </row>
    <row r="36" spans="1:10" s="127" customFormat="1" ht="34.5" customHeight="1">
      <c r="A36" s="295">
        <v>35</v>
      </c>
      <c r="B36" s="300" t="s">
        <v>435</v>
      </c>
      <c r="C36" s="289" t="s">
        <v>149</v>
      </c>
      <c r="D36" s="290" t="s">
        <v>436</v>
      </c>
      <c r="E36" s="295">
        <v>0.4</v>
      </c>
      <c r="F36" s="176" t="s">
        <v>263</v>
      </c>
      <c r="G36" s="286">
        <v>0</v>
      </c>
      <c r="H36" s="295">
        <v>0</v>
      </c>
      <c r="I36" s="297">
        <v>0</v>
      </c>
      <c r="J36" s="127">
        <f t="shared" si="0"/>
        <v>0</v>
      </c>
    </row>
    <row r="37" spans="1:10" s="127" customFormat="1" ht="34.5" customHeight="1">
      <c r="A37" s="295">
        <v>36</v>
      </c>
      <c r="B37" s="300" t="s">
        <v>437</v>
      </c>
      <c r="C37" s="289" t="s">
        <v>149</v>
      </c>
      <c r="D37" s="296" t="s">
        <v>438</v>
      </c>
      <c r="E37" s="295">
        <v>6</v>
      </c>
      <c r="F37" s="176" t="s">
        <v>263</v>
      </c>
      <c r="G37" s="286">
        <v>0</v>
      </c>
      <c r="H37" s="295">
        <v>0</v>
      </c>
      <c r="I37" s="297">
        <v>0</v>
      </c>
      <c r="J37" s="127">
        <f t="shared" si="0"/>
        <v>0</v>
      </c>
    </row>
    <row r="38" spans="1:10" s="127" customFormat="1" ht="34.5" customHeight="1">
      <c r="A38" s="298">
        <f>A37+1</f>
        <v>37</v>
      </c>
      <c r="B38" s="237">
        <v>42383</v>
      </c>
      <c r="C38" s="238" t="s">
        <v>236</v>
      </c>
      <c r="D38" s="239" t="s">
        <v>439</v>
      </c>
      <c r="E38" s="239" t="s">
        <v>382</v>
      </c>
      <c r="F38" s="176" t="s">
        <v>263</v>
      </c>
      <c r="G38" s="287">
        <v>0.25</v>
      </c>
      <c r="H38" s="239">
        <v>1</v>
      </c>
      <c r="I38" s="239">
        <v>1</v>
      </c>
      <c r="J38" s="127">
        <f t="shared" si="0"/>
        <v>0.25</v>
      </c>
    </row>
    <row r="39" spans="1:10" s="127" customFormat="1" ht="34.5" customHeight="1">
      <c r="A39" s="298">
        <f aca="true" t="shared" si="1" ref="A39:A61">A38+1</f>
        <v>38</v>
      </c>
      <c r="B39" s="240">
        <v>42396</v>
      </c>
      <c r="C39" s="238" t="s">
        <v>236</v>
      </c>
      <c r="D39" s="239" t="s">
        <v>440</v>
      </c>
      <c r="E39" s="239">
        <v>0.4</v>
      </c>
      <c r="F39" s="176" t="s">
        <v>263</v>
      </c>
      <c r="G39" s="288">
        <v>2.35</v>
      </c>
      <c r="H39" s="239">
        <v>1</v>
      </c>
      <c r="I39" s="239">
        <v>1</v>
      </c>
      <c r="J39" s="127">
        <f t="shared" si="0"/>
        <v>2.35</v>
      </c>
    </row>
    <row r="40" spans="1:10" s="127" customFormat="1" ht="34.5" customHeight="1">
      <c r="A40" s="298">
        <f t="shared" si="1"/>
        <v>39</v>
      </c>
      <c r="B40" s="240">
        <v>42431</v>
      </c>
      <c r="C40" s="238" t="s">
        <v>236</v>
      </c>
      <c r="D40" s="239" t="s">
        <v>441</v>
      </c>
      <c r="E40" s="239">
        <v>0.4</v>
      </c>
      <c r="F40" s="176" t="s">
        <v>263</v>
      </c>
      <c r="G40" s="287">
        <v>5</v>
      </c>
      <c r="H40" s="239">
        <v>6</v>
      </c>
      <c r="I40" s="239">
        <v>6</v>
      </c>
      <c r="J40" s="127">
        <f t="shared" si="0"/>
        <v>30</v>
      </c>
    </row>
    <row r="41" spans="1:10" s="127" customFormat="1" ht="34.5" customHeight="1">
      <c r="A41" s="298">
        <f t="shared" si="1"/>
        <v>40</v>
      </c>
      <c r="B41" s="237">
        <v>42439</v>
      </c>
      <c r="C41" s="238" t="s">
        <v>236</v>
      </c>
      <c r="D41" s="239" t="s">
        <v>442</v>
      </c>
      <c r="E41" s="239">
        <v>10</v>
      </c>
      <c r="F41" s="176" t="s">
        <v>263</v>
      </c>
      <c r="G41" s="288">
        <v>0.1</v>
      </c>
      <c r="H41" s="239">
        <v>2</v>
      </c>
      <c r="I41" s="239">
        <v>2</v>
      </c>
      <c r="J41" s="127">
        <f t="shared" si="0"/>
        <v>0.2</v>
      </c>
    </row>
    <row r="42" spans="1:10" s="127" customFormat="1" ht="34.5" customHeight="1">
      <c r="A42" s="298">
        <f t="shared" si="1"/>
        <v>41</v>
      </c>
      <c r="B42" s="237">
        <v>42804</v>
      </c>
      <c r="C42" s="238" t="s">
        <v>236</v>
      </c>
      <c r="D42" s="239" t="s">
        <v>443</v>
      </c>
      <c r="E42" s="239">
        <v>10</v>
      </c>
      <c r="F42" s="176" t="s">
        <v>263</v>
      </c>
      <c r="G42" s="287">
        <v>0.1</v>
      </c>
      <c r="H42" s="239">
        <v>2</v>
      </c>
      <c r="I42" s="239">
        <v>2</v>
      </c>
      <c r="J42" s="127">
        <f t="shared" si="0"/>
        <v>0.2</v>
      </c>
    </row>
    <row r="43" spans="1:10" s="127" customFormat="1" ht="34.5" customHeight="1">
      <c r="A43" s="298">
        <f t="shared" si="1"/>
        <v>42</v>
      </c>
      <c r="B43" s="237">
        <v>42443</v>
      </c>
      <c r="C43" s="238" t="s">
        <v>236</v>
      </c>
      <c r="D43" s="239" t="s">
        <v>444</v>
      </c>
      <c r="E43" s="239">
        <v>0.4</v>
      </c>
      <c r="F43" s="176" t="s">
        <v>263</v>
      </c>
      <c r="G43" s="288">
        <v>1.2</v>
      </c>
      <c r="H43" s="239">
        <v>5</v>
      </c>
      <c r="I43" s="239">
        <v>5</v>
      </c>
      <c r="J43" s="127">
        <f t="shared" si="0"/>
        <v>6</v>
      </c>
    </row>
    <row r="44" spans="1:10" s="127" customFormat="1" ht="34.5" customHeight="1">
      <c r="A44" s="298">
        <f t="shared" si="1"/>
        <v>43</v>
      </c>
      <c r="B44" s="237">
        <v>42475</v>
      </c>
      <c r="C44" s="238" t="s">
        <v>236</v>
      </c>
      <c r="D44" s="239" t="s">
        <v>445</v>
      </c>
      <c r="E44" s="239">
        <v>10</v>
      </c>
      <c r="F44" s="176" t="s">
        <v>263</v>
      </c>
      <c r="G44" s="287">
        <v>4</v>
      </c>
      <c r="H44" s="239">
        <v>12</v>
      </c>
      <c r="I44" s="239">
        <v>12</v>
      </c>
      <c r="J44" s="127">
        <f t="shared" si="0"/>
        <v>48</v>
      </c>
    </row>
    <row r="45" spans="1:10" s="127" customFormat="1" ht="34.5" customHeight="1">
      <c r="A45" s="298">
        <f t="shared" si="1"/>
        <v>44</v>
      </c>
      <c r="B45" s="237">
        <v>42497</v>
      </c>
      <c r="C45" s="238" t="s">
        <v>236</v>
      </c>
      <c r="D45" s="239" t="s">
        <v>446</v>
      </c>
      <c r="E45" s="239">
        <v>10</v>
      </c>
      <c r="F45" s="176" t="s">
        <v>263</v>
      </c>
      <c r="G45" s="288">
        <v>1.1</v>
      </c>
      <c r="H45" s="239">
        <v>167</v>
      </c>
      <c r="I45" s="239">
        <v>167</v>
      </c>
      <c r="J45" s="127">
        <f t="shared" si="0"/>
        <v>183.70000000000002</v>
      </c>
    </row>
    <row r="46" spans="1:10" s="127" customFormat="1" ht="34.5" customHeight="1">
      <c r="A46" s="298">
        <f t="shared" si="1"/>
        <v>45</v>
      </c>
      <c r="B46" s="237">
        <v>42497</v>
      </c>
      <c r="C46" s="238" t="s">
        <v>236</v>
      </c>
      <c r="D46" s="239" t="s">
        <v>447</v>
      </c>
      <c r="E46" s="239">
        <v>10</v>
      </c>
      <c r="F46" s="176" t="s">
        <v>263</v>
      </c>
      <c r="G46" s="287">
        <v>11.3</v>
      </c>
      <c r="H46" s="239">
        <v>25</v>
      </c>
      <c r="I46" s="239">
        <v>25</v>
      </c>
      <c r="J46" s="127">
        <f t="shared" si="0"/>
        <v>282.5</v>
      </c>
    </row>
    <row r="47" spans="1:10" s="127" customFormat="1" ht="34.5" customHeight="1">
      <c r="A47" s="298">
        <f t="shared" si="1"/>
        <v>46</v>
      </c>
      <c r="B47" s="237">
        <v>42503</v>
      </c>
      <c r="C47" s="238" t="s">
        <v>236</v>
      </c>
      <c r="D47" s="239" t="s">
        <v>448</v>
      </c>
      <c r="E47" s="239">
        <v>0.4</v>
      </c>
      <c r="F47" s="176" t="s">
        <v>263</v>
      </c>
      <c r="G47" s="288">
        <v>2.4</v>
      </c>
      <c r="H47" s="239">
        <v>4</v>
      </c>
      <c r="I47" s="239">
        <v>4</v>
      </c>
      <c r="J47" s="127">
        <f t="shared" si="0"/>
        <v>9.6</v>
      </c>
    </row>
    <row r="48" spans="1:10" s="127" customFormat="1" ht="34.5" customHeight="1">
      <c r="A48" s="298">
        <f t="shared" si="1"/>
        <v>47</v>
      </c>
      <c r="B48" s="237">
        <v>42503</v>
      </c>
      <c r="C48" s="238" t="s">
        <v>236</v>
      </c>
      <c r="D48" s="239" t="s">
        <v>449</v>
      </c>
      <c r="E48" s="239">
        <v>0.4</v>
      </c>
      <c r="F48" s="176" t="s">
        <v>263</v>
      </c>
      <c r="G48" s="287">
        <v>0.3</v>
      </c>
      <c r="H48" s="239">
        <v>2</v>
      </c>
      <c r="I48" s="239">
        <v>2</v>
      </c>
      <c r="J48" s="127">
        <f t="shared" si="0"/>
        <v>0.6</v>
      </c>
    </row>
    <row r="49" spans="1:10" s="127" customFormat="1" ht="34.5" customHeight="1">
      <c r="A49" s="298">
        <f t="shared" si="1"/>
        <v>48</v>
      </c>
      <c r="B49" s="237">
        <v>42510</v>
      </c>
      <c r="C49" s="238" t="s">
        <v>236</v>
      </c>
      <c r="D49" s="239" t="s">
        <v>450</v>
      </c>
      <c r="E49" s="239">
        <v>0.4</v>
      </c>
      <c r="F49" s="176" t="s">
        <v>263</v>
      </c>
      <c r="G49" s="288">
        <v>0.55</v>
      </c>
      <c r="H49" s="239">
        <v>6</v>
      </c>
      <c r="I49" s="239">
        <v>6</v>
      </c>
      <c r="J49" s="127">
        <f t="shared" si="0"/>
        <v>3.3000000000000003</v>
      </c>
    </row>
    <row r="50" spans="1:10" s="127" customFormat="1" ht="34.5" customHeight="1">
      <c r="A50" s="298">
        <f t="shared" si="1"/>
        <v>49</v>
      </c>
      <c r="B50" s="237">
        <v>42517</v>
      </c>
      <c r="C50" s="238" t="s">
        <v>236</v>
      </c>
      <c r="D50" s="239" t="s">
        <v>447</v>
      </c>
      <c r="E50" s="239">
        <v>10</v>
      </c>
      <c r="F50" s="176" t="s">
        <v>263</v>
      </c>
      <c r="G50" s="287">
        <v>1</v>
      </c>
      <c r="H50" s="239">
        <v>192</v>
      </c>
      <c r="I50" s="239">
        <v>192</v>
      </c>
      <c r="J50" s="127">
        <f t="shared" si="0"/>
        <v>192</v>
      </c>
    </row>
    <row r="51" spans="1:10" s="127" customFormat="1" ht="34.5" customHeight="1">
      <c r="A51" s="298">
        <f t="shared" si="1"/>
        <v>50</v>
      </c>
      <c r="B51" s="237">
        <v>42523</v>
      </c>
      <c r="C51" s="238" t="s">
        <v>236</v>
      </c>
      <c r="D51" s="239" t="s">
        <v>451</v>
      </c>
      <c r="E51" s="239">
        <v>0.4</v>
      </c>
      <c r="F51" s="176" t="s">
        <v>263</v>
      </c>
      <c r="G51" s="288">
        <v>0.55</v>
      </c>
      <c r="H51" s="239">
        <v>8</v>
      </c>
      <c r="I51" s="239">
        <v>8</v>
      </c>
      <c r="J51" s="127">
        <f t="shared" si="0"/>
        <v>4.4</v>
      </c>
    </row>
    <row r="52" spans="1:10" s="127" customFormat="1" ht="34.5" customHeight="1">
      <c r="A52" s="298">
        <f t="shared" si="1"/>
        <v>51</v>
      </c>
      <c r="B52" s="237">
        <v>42533</v>
      </c>
      <c r="C52" s="238" t="s">
        <v>236</v>
      </c>
      <c r="D52" s="239" t="s">
        <v>452</v>
      </c>
      <c r="E52" s="239">
        <v>0.4</v>
      </c>
      <c r="F52" s="176" t="s">
        <v>263</v>
      </c>
      <c r="G52" s="287">
        <v>2.3</v>
      </c>
      <c r="H52" s="239">
        <v>80</v>
      </c>
      <c r="I52" s="239">
        <v>80</v>
      </c>
      <c r="J52" s="127">
        <f t="shared" si="0"/>
        <v>184</v>
      </c>
    </row>
    <row r="53" spans="1:10" s="127" customFormat="1" ht="34.5" customHeight="1">
      <c r="A53" s="298">
        <f t="shared" si="1"/>
        <v>52</v>
      </c>
      <c r="B53" s="237">
        <v>42487</v>
      </c>
      <c r="C53" s="238" t="s">
        <v>236</v>
      </c>
      <c r="D53" s="239" t="s">
        <v>453</v>
      </c>
      <c r="E53" s="239">
        <v>6</v>
      </c>
      <c r="F53" s="176" t="s">
        <v>263</v>
      </c>
      <c r="G53" s="288">
        <v>1</v>
      </c>
      <c r="H53" s="239">
        <v>5</v>
      </c>
      <c r="I53" s="239">
        <v>5</v>
      </c>
      <c r="J53" s="127">
        <f t="shared" si="0"/>
        <v>5</v>
      </c>
    </row>
    <row r="54" spans="1:10" s="127" customFormat="1" ht="34.5" customHeight="1">
      <c r="A54" s="298">
        <f t="shared" si="1"/>
        <v>53</v>
      </c>
      <c r="B54" s="237">
        <v>42507</v>
      </c>
      <c r="C54" s="238" t="s">
        <v>236</v>
      </c>
      <c r="D54" s="239" t="s">
        <v>454</v>
      </c>
      <c r="E54" s="239">
        <v>0.4</v>
      </c>
      <c r="F54" s="176" t="s">
        <v>263</v>
      </c>
      <c r="G54" s="287">
        <v>3.1</v>
      </c>
      <c r="H54" s="239">
        <v>1</v>
      </c>
      <c r="I54" s="239">
        <v>1</v>
      </c>
      <c r="J54" s="127">
        <f t="shared" si="0"/>
        <v>3.1</v>
      </c>
    </row>
    <row r="55" spans="1:10" s="127" customFormat="1" ht="34.5" customHeight="1">
      <c r="A55" s="298">
        <f t="shared" si="1"/>
        <v>54</v>
      </c>
      <c r="B55" s="237">
        <v>42552</v>
      </c>
      <c r="C55" s="238" t="s">
        <v>236</v>
      </c>
      <c r="D55" s="239" t="s">
        <v>455</v>
      </c>
      <c r="E55" s="239">
        <v>10</v>
      </c>
      <c r="F55" s="176" t="s">
        <v>263</v>
      </c>
      <c r="G55" s="288">
        <v>0.15</v>
      </c>
      <c r="H55" s="239">
        <v>1</v>
      </c>
      <c r="I55" s="239">
        <v>1</v>
      </c>
      <c r="J55" s="127">
        <f t="shared" si="0"/>
        <v>0.15</v>
      </c>
    </row>
    <row r="56" spans="1:10" s="127" customFormat="1" ht="34.5" customHeight="1">
      <c r="A56" s="298">
        <f t="shared" si="1"/>
        <v>55</v>
      </c>
      <c r="B56" s="237">
        <v>42586</v>
      </c>
      <c r="C56" s="238" t="s">
        <v>236</v>
      </c>
      <c r="D56" s="239" t="s">
        <v>456</v>
      </c>
      <c r="E56" s="239">
        <v>0.4</v>
      </c>
      <c r="F56" s="176" t="s">
        <v>263</v>
      </c>
      <c r="G56" s="287">
        <v>6.5</v>
      </c>
      <c r="H56" s="239">
        <v>15</v>
      </c>
      <c r="I56" s="239">
        <v>15</v>
      </c>
      <c r="J56" s="127">
        <f t="shared" si="0"/>
        <v>97.5</v>
      </c>
    </row>
    <row r="57" spans="1:10" s="127" customFormat="1" ht="34.5" customHeight="1">
      <c r="A57" s="298">
        <f t="shared" si="1"/>
        <v>56</v>
      </c>
      <c r="B57" s="237">
        <v>42626</v>
      </c>
      <c r="C57" s="238" t="s">
        <v>236</v>
      </c>
      <c r="D57" s="239" t="s">
        <v>457</v>
      </c>
      <c r="E57" s="239">
        <v>10</v>
      </c>
      <c r="F57" s="176" t="s">
        <v>263</v>
      </c>
      <c r="G57" s="288">
        <v>0.2</v>
      </c>
      <c r="H57" s="239">
        <v>1</v>
      </c>
      <c r="I57" s="239">
        <v>1</v>
      </c>
      <c r="J57" s="127">
        <f t="shared" si="0"/>
        <v>0.2</v>
      </c>
    </row>
    <row r="58" spans="1:10" s="127" customFormat="1" ht="34.5" customHeight="1">
      <c r="A58" s="298">
        <f t="shared" si="1"/>
        <v>57</v>
      </c>
      <c r="B58" s="237">
        <v>42629</v>
      </c>
      <c r="C58" s="238" t="s">
        <v>236</v>
      </c>
      <c r="D58" s="239" t="s">
        <v>458</v>
      </c>
      <c r="E58" s="239">
        <v>10</v>
      </c>
      <c r="F58" s="176" t="s">
        <v>263</v>
      </c>
      <c r="G58" s="287">
        <v>5.2</v>
      </c>
      <c r="H58" s="239">
        <v>1</v>
      </c>
      <c r="I58" s="239">
        <v>1</v>
      </c>
      <c r="J58" s="127">
        <f t="shared" si="0"/>
        <v>5.2</v>
      </c>
    </row>
    <row r="59" spans="1:10" s="127" customFormat="1" ht="34.5" customHeight="1">
      <c r="A59" s="298">
        <f t="shared" si="1"/>
        <v>58</v>
      </c>
      <c r="B59" s="237">
        <v>42667</v>
      </c>
      <c r="C59" s="238" t="s">
        <v>236</v>
      </c>
      <c r="D59" s="239" t="s">
        <v>459</v>
      </c>
      <c r="E59" s="239">
        <v>0.4</v>
      </c>
      <c r="F59" s="176" t="s">
        <v>263</v>
      </c>
      <c r="G59" s="288">
        <v>0.5</v>
      </c>
      <c r="H59" s="239">
        <v>2</v>
      </c>
      <c r="I59" s="239">
        <v>2</v>
      </c>
      <c r="J59" s="127">
        <f t="shared" si="0"/>
        <v>1</v>
      </c>
    </row>
    <row r="60" spans="1:10" s="127" customFormat="1" ht="34.5" customHeight="1">
      <c r="A60" s="298">
        <f t="shared" si="1"/>
        <v>59</v>
      </c>
      <c r="B60" s="237">
        <v>42693</v>
      </c>
      <c r="C60" s="238" t="s">
        <v>236</v>
      </c>
      <c r="D60" s="239" t="s">
        <v>460</v>
      </c>
      <c r="E60" s="239">
        <v>0.4</v>
      </c>
      <c r="F60" s="176" t="s">
        <v>263</v>
      </c>
      <c r="G60" s="287">
        <v>1.9</v>
      </c>
      <c r="H60" s="239">
        <v>1</v>
      </c>
      <c r="I60" s="239">
        <v>1</v>
      </c>
      <c r="J60" s="127">
        <f t="shared" si="0"/>
        <v>1.9</v>
      </c>
    </row>
    <row r="61" spans="1:10" s="127" customFormat="1" ht="34.5" customHeight="1">
      <c r="A61" s="299">
        <f t="shared" si="1"/>
        <v>60</v>
      </c>
      <c r="B61" s="237">
        <v>42724</v>
      </c>
      <c r="C61" s="241" t="s">
        <v>236</v>
      </c>
      <c r="D61" s="242" t="s">
        <v>461</v>
      </c>
      <c r="E61" s="242">
        <v>0.4</v>
      </c>
      <c r="F61" s="176" t="s">
        <v>263</v>
      </c>
      <c r="G61" s="288">
        <v>5</v>
      </c>
      <c r="H61" s="242">
        <v>4</v>
      </c>
      <c r="I61" s="242">
        <v>4</v>
      </c>
      <c r="J61" s="127">
        <f t="shared" si="0"/>
        <v>20</v>
      </c>
    </row>
    <row r="62" spans="1:10" s="127" customFormat="1" ht="34.5" customHeight="1">
      <c r="A62" s="243"/>
      <c r="B62" s="243"/>
      <c r="C62" s="244" t="s">
        <v>462</v>
      </c>
      <c r="D62" s="244"/>
      <c r="E62" s="245"/>
      <c r="F62" s="244"/>
      <c r="G62" s="246">
        <f>SUM(G8:G61)</f>
        <v>176.38333333333338</v>
      </c>
      <c r="H62" s="246">
        <f>SUM(H8:H61)</f>
        <v>1379</v>
      </c>
      <c r="I62" s="246">
        <f>SUM(I8:I61)</f>
        <v>1002</v>
      </c>
      <c r="J62" s="127">
        <f>SUM(J8:J61)</f>
        <v>4592.083333333332</v>
      </c>
    </row>
    <row r="63" spans="1:10" s="127" customFormat="1" ht="34.5" customHeight="1">
      <c r="A63" s="247"/>
      <c r="B63" s="247"/>
      <c r="C63" s="248" t="s">
        <v>149</v>
      </c>
      <c r="D63" s="249"/>
      <c r="E63" s="250"/>
      <c r="F63" s="249"/>
      <c r="G63" s="251">
        <f>SUM(G8:G37)</f>
        <v>120.33333333333336</v>
      </c>
      <c r="H63" s="251">
        <f>SUM(H8:H37)</f>
        <v>835</v>
      </c>
      <c r="I63" s="251">
        <f>SUM(I8:I37)</f>
        <v>458</v>
      </c>
      <c r="J63" s="127">
        <f>SUM(J8:J37)</f>
        <v>3510.9333333333334</v>
      </c>
    </row>
    <row r="64" spans="1:10" s="127" customFormat="1" ht="34.5" customHeight="1" thickBot="1">
      <c r="A64" s="252"/>
      <c r="B64" s="252"/>
      <c r="C64" s="253" t="s">
        <v>236</v>
      </c>
      <c r="D64" s="254"/>
      <c r="E64" s="255"/>
      <c r="F64" s="254"/>
      <c r="G64" s="256">
        <f>SUM(G38:G61)</f>
        <v>56.050000000000004</v>
      </c>
      <c r="H64" s="256">
        <f>SUM(H38:H61)</f>
        <v>544</v>
      </c>
      <c r="I64" s="256">
        <f>SUM(I38:I61)</f>
        <v>544</v>
      </c>
      <c r="J64" s="127">
        <f>SUM(J38:J61)</f>
        <v>1081.15</v>
      </c>
    </row>
    <row r="65" spans="1:9" s="127" customFormat="1" ht="34.5" customHeight="1">
      <c r="A65" s="203"/>
      <c r="B65" s="204"/>
      <c r="C65" s="205"/>
      <c r="D65" s="205"/>
      <c r="E65" s="205"/>
      <c r="F65" s="206"/>
      <c r="G65" s="207"/>
      <c r="H65" s="207"/>
      <c r="I65" s="207"/>
    </row>
    <row r="66" spans="1:9" s="127" customFormat="1" ht="34.5" customHeight="1">
      <c r="A66" s="203"/>
      <c r="B66" s="204"/>
      <c r="C66" s="205"/>
      <c r="D66" s="205"/>
      <c r="E66" s="205"/>
      <c r="F66" s="206"/>
      <c r="G66" s="207"/>
      <c r="H66" s="208"/>
      <c r="I66" s="208"/>
    </row>
    <row r="67" spans="1:9" s="127" customFormat="1" ht="34.5" customHeight="1">
      <c r="A67" s="203"/>
      <c r="B67" s="204"/>
      <c r="C67" s="205"/>
      <c r="D67" s="205"/>
      <c r="E67" s="205"/>
      <c r="F67" s="206"/>
      <c r="G67" s="207"/>
      <c r="H67" s="208"/>
      <c r="I67" s="208"/>
    </row>
    <row r="68" spans="1:9" s="127" customFormat="1" ht="34.5" customHeight="1">
      <c r="A68" s="203"/>
      <c r="B68" s="204"/>
      <c r="C68" s="205"/>
      <c r="D68" s="205"/>
      <c r="E68" s="205"/>
      <c r="F68" s="206"/>
      <c r="G68" s="207"/>
      <c r="H68" s="208"/>
      <c r="I68" s="208"/>
    </row>
    <row r="69" spans="1:9" s="127" customFormat="1" ht="34.5" customHeight="1">
      <c r="A69" s="203"/>
      <c r="B69" s="204"/>
      <c r="C69" s="205"/>
      <c r="D69" s="205"/>
      <c r="E69" s="205"/>
      <c r="F69" s="206"/>
      <c r="G69" s="207"/>
      <c r="H69" s="208"/>
      <c r="I69" s="208"/>
    </row>
    <row r="70" spans="1:9" s="127" customFormat="1" ht="34.5" customHeight="1">
      <c r="A70" s="203"/>
      <c r="B70" s="204"/>
      <c r="C70" s="205"/>
      <c r="D70" s="205"/>
      <c r="E70" s="205"/>
      <c r="F70" s="206"/>
      <c r="G70" s="207"/>
      <c r="H70" s="208"/>
      <c r="I70" s="208"/>
    </row>
    <row r="71" spans="1:9" s="127" customFormat="1" ht="34.5" customHeight="1">
      <c r="A71" s="203"/>
      <c r="B71" s="204"/>
      <c r="C71" s="205"/>
      <c r="D71" s="205"/>
      <c r="E71" s="205"/>
      <c r="F71" s="206"/>
      <c r="G71" s="207"/>
      <c r="H71" s="208"/>
      <c r="I71" s="208"/>
    </row>
    <row r="72" spans="1:9" s="127" customFormat="1" ht="34.5" customHeight="1">
      <c r="A72" s="203"/>
      <c r="B72" s="204"/>
      <c r="C72" s="205"/>
      <c r="D72" s="205"/>
      <c r="E72" s="205"/>
      <c r="F72" s="206"/>
      <c r="G72" s="207"/>
      <c r="H72" s="208"/>
      <c r="I72" s="208"/>
    </row>
    <row r="73" spans="1:9" s="127" customFormat="1" ht="34.5" customHeight="1">
      <c r="A73" s="203"/>
      <c r="B73" s="204"/>
      <c r="C73" s="205"/>
      <c r="D73" s="205"/>
      <c r="E73" s="205"/>
      <c r="F73" s="206"/>
      <c r="G73" s="207"/>
      <c r="H73" s="208"/>
      <c r="I73" s="208"/>
    </row>
    <row r="74" spans="1:9" s="127" customFormat="1" ht="34.5" customHeight="1">
      <c r="A74" s="203"/>
      <c r="B74" s="204"/>
      <c r="C74" s="205"/>
      <c r="D74" s="205"/>
      <c r="E74" s="205"/>
      <c r="F74" s="206"/>
      <c r="G74" s="207"/>
      <c r="H74" s="208"/>
      <c r="I74" s="208"/>
    </row>
    <row r="75" spans="1:9" s="127" customFormat="1" ht="34.5" customHeight="1">
      <c r="A75" s="203"/>
      <c r="B75" s="204"/>
      <c r="C75" s="205"/>
      <c r="D75" s="205"/>
      <c r="E75" s="205"/>
      <c r="F75" s="206"/>
      <c r="G75" s="207"/>
      <c r="H75" s="208"/>
      <c r="I75" s="208"/>
    </row>
    <row r="76" spans="1:9" s="127" customFormat="1" ht="34.5" customHeight="1">
      <c r="A76" s="203"/>
      <c r="B76" s="204"/>
      <c r="C76" s="205"/>
      <c r="D76" s="205"/>
      <c r="E76" s="205"/>
      <c r="F76" s="206"/>
      <c r="G76" s="207"/>
      <c r="H76" s="208"/>
      <c r="I76" s="208"/>
    </row>
    <row r="77" spans="1:9" s="127" customFormat="1" ht="34.5" customHeight="1">
      <c r="A77" s="203"/>
      <c r="B77" s="204"/>
      <c r="C77" s="205"/>
      <c r="D77" s="205"/>
      <c r="E77" s="205"/>
      <c r="F77" s="206"/>
      <c r="G77" s="207"/>
      <c r="H77" s="208"/>
      <c r="I77" s="208"/>
    </row>
    <row r="78" spans="1:9" s="127" customFormat="1" ht="34.5" customHeight="1">
      <c r="A78" s="203"/>
      <c r="B78" s="204"/>
      <c r="C78" s="205"/>
      <c r="D78" s="205"/>
      <c r="E78" s="205"/>
      <c r="F78" s="206"/>
      <c r="G78" s="207"/>
      <c r="H78" s="208"/>
      <c r="I78" s="208"/>
    </row>
    <row r="79" spans="1:9" s="127" customFormat="1" ht="34.5" customHeight="1">
      <c r="A79" s="203"/>
      <c r="B79" s="204"/>
      <c r="C79" s="205"/>
      <c r="D79" s="205"/>
      <c r="E79" s="205"/>
      <c r="F79" s="206"/>
      <c r="G79" s="207"/>
      <c r="H79" s="208"/>
      <c r="I79" s="208"/>
    </row>
    <row r="80" spans="1:9" s="127" customFormat="1" ht="34.5" customHeight="1">
      <c r="A80" s="203"/>
      <c r="B80" s="204"/>
      <c r="C80" s="205"/>
      <c r="D80" s="205"/>
      <c r="E80" s="205"/>
      <c r="F80" s="206"/>
      <c r="G80" s="207"/>
      <c r="H80" s="208"/>
      <c r="I80" s="208"/>
    </row>
    <row r="81" spans="1:9" s="127" customFormat="1" ht="34.5" customHeight="1">
      <c r="A81" s="203"/>
      <c r="B81" s="204"/>
      <c r="C81" s="205"/>
      <c r="D81" s="205"/>
      <c r="E81" s="205"/>
      <c r="F81" s="206"/>
      <c r="G81" s="207"/>
      <c r="H81" s="208"/>
      <c r="I81" s="208"/>
    </row>
    <row r="82" spans="1:9" s="127" customFormat="1" ht="34.5" customHeight="1">
      <c r="A82" s="203"/>
      <c r="B82" s="204"/>
      <c r="C82" s="205"/>
      <c r="D82" s="205"/>
      <c r="E82" s="205"/>
      <c r="F82" s="206"/>
      <c r="G82" s="207"/>
      <c r="H82" s="208"/>
      <c r="I82" s="208"/>
    </row>
    <row r="83" spans="1:9" s="127" customFormat="1" ht="34.5" customHeight="1">
      <c r="A83" s="203"/>
      <c r="B83" s="204"/>
      <c r="C83" s="205"/>
      <c r="D83" s="205"/>
      <c r="E83" s="205"/>
      <c r="F83" s="206"/>
      <c r="G83" s="207"/>
      <c r="H83" s="208"/>
      <c r="I83" s="208"/>
    </row>
    <row r="84" spans="1:9" s="127" customFormat="1" ht="34.5" customHeight="1">
      <c r="A84" s="203"/>
      <c r="B84" s="204"/>
      <c r="C84" s="205"/>
      <c r="D84" s="205"/>
      <c r="E84" s="205"/>
      <c r="F84" s="206"/>
      <c r="G84" s="207"/>
      <c r="H84" s="208"/>
      <c r="I84" s="208"/>
    </row>
    <row r="85" spans="1:9" s="127" customFormat="1" ht="34.5" customHeight="1">
      <c r="A85" s="203"/>
      <c r="B85" s="204"/>
      <c r="C85" s="205"/>
      <c r="D85" s="205"/>
      <c r="E85" s="205"/>
      <c r="F85" s="206"/>
      <c r="G85" s="207"/>
      <c r="H85" s="208"/>
      <c r="I85" s="208"/>
    </row>
    <row r="86" spans="1:9" s="127" customFormat="1" ht="34.5" customHeight="1">
      <c r="A86" s="203"/>
      <c r="B86" s="204"/>
      <c r="C86" s="205"/>
      <c r="D86" s="205"/>
      <c r="E86" s="205"/>
      <c r="F86" s="206"/>
      <c r="G86" s="207"/>
      <c r="H86" s="208"/>
      <c r="I86" s="208"/>
    </row>
    <row r="87" spans="1:9" s="127" customFormat="1" ht="34.5" customHeight="1">
      <c r="A87" s="203"/>
      <c r="B87" s="204"/>
      <c r="C87" s="205"/>
      <c r="D87" s="205"/>
      <c r="E87" s="205"/>
      <c r="F87" s="206"/>
      <c r="G87" s="207"/>
      <c r="H87" s="208"/>
      <c r="I87" s="208"/>
    </row>
    <row r="88" spans="1:9" s="127" customFormat="1" ht="34.5" customHeight="1">
      <c r="A88" s="203"/>
      <c r="B88" s="204"/>
      <c r="C88" s="205"/>
      <c r="D88" s="205"/>
      <c r="E88" s="205"/>
      <c r="F88" s="206"/>
      <c r="G88" s="207"/>
      <c r="H88" s="208"/>
      <c r="I88" s="208"/>
    </row>
    <row r="89" spans="1:9" s="127" customFormat="1" ht="34.5" customHeight="1">
      <c r="A89" s="203"/>
      <c r="B89" s="204"/>
      <c r="C89" s="205"/>
      <c r="D89" s="205"/>
      <c r="E89" s="205"/>
      <c r="F89" s="206"/>
      <c r="G89" s="207"/>
      <c r="H89" s="208"/>
      <c r="I89" s="208"/>
    </row>
    <row r="90" spans="1:9" s="127" customFormat="1" ht="34.5" customHeight="1">
      <c r="A90" s="203"/>
      <c r="B90" s="204"/>
      <c r="C90" s="205"/>
      <c r="D90" s="205"/>
      <c r="E90" s="205"/>
      <c r="F90" s="206"/>
      <c r="G90" s="207"/>
      <c r="H90" s="208"/>
      <c r="I90" s="208"/>
    </row>
    <row r="91" spans="1:9" s="127" customFormat="1" ht="34.5" customHeight="1">
      <c r="A91" s="203"/>
      <c r="B91" s="204"/>
      <c r="C91" s="205"/>
      <c r="D91" s="205"/>
      <c r="E91" s="205"/>
      <c r="F91" s="206"/>
      <c r="G91" s="207"/>
      <c r="H91" s="208"/>
      <c r="I91" s="208"/>
    </row>
    <row r="92" spans="1:9" s="127" customFormat="1" ht="34.5" customHeight="1">
      <c r="A92" s="203"/>
      <c r="B92" s="204"/>
      <c r="C92" s="205"/>
      <c r="D92" s="205"/>
      <c r="E92" s="205"/>
      <c r="F92" s="206"/>
      <c r="G92" s="207"/>
      <c r="H92" s="208"/>
      <c r="I92" s="208"/>
    </row>
    <row r="93" spans="1:9" s="127" customFormat="1" ht="34.5" customHeight="1">
      <c r="A93" s="203"/>
      <c r="B93" s="204"/>
      <c r="C93" s="205"/>
      <c r="D93" s="205"/>
      <c r="E93" s="205"/>
      <c r="F93" s="206"/>
      <c r="G93" s="207"/>
      <c r="H93" s="208"/>
      <c r="I93" s="208"/>
    </row>
    <row r="94" spans="1:9" s="127" customFormat="1" ht="34.5" customHeight="1">
      <c r="A94" s="203"/>
      <c r="B94" s="204"/>
      <c r="C94" s="205"/>
      <c r="D94" s="205"/>
      <c r="E94" s="205"/>
      <c r="F94" s="206"/>
      <c r="G94" s="207"/>
      <c r="H94" s="208"/>
      <c r="I94" s="208"/>
    </row>
    <row r="95" spans="1:9" s="127" customFormat="1" ht="34.5" customHeight="1">
      <c r="A95" s="203"/>
      <c r="B95" s="204"/>
      <c r="C95" s="205"/>
      <c r="D95" s="205"/>
      <c r="E95" s="205"/>
      <c r="F95" s="206"/>
      <c r="G95" s="207"/>
      <c r="H95" s="208"/>
      <c r="I95" s="208"/>
    </row>
    <row r="96" spans="1:9" s="127" customFormat="1" ht="34.5" customHeight="1">
      <c r="A96" s="203"/>
      <c r="B96" s="204"/>
      <c r="C96" s="205"/>
      <c r="D96" s="205"/>
      <c r="E96" s="205"/>
      <c r="F96" s="206"/>
      <c r="G96" s="207"/>
      <c r="H96" s="208"/>
      <c r="I96" s="208"/>
    </row>
    <row r="97" spans="1:9" s="127" customFormat="1" ht="34.5" customHeight="1">
      <c r="A97" s="203"/>
      <c r="B97" s="204"/>
      <c r="C97" s="205"/>
      <c r="D97" s="205"/>
      <c r="E97" s="205"/>
      <c r="F97" s="206"/>
      <c r="G97" s="207"/>
      <c r="H97" s="208"/>
      <c r="I97" s="208"/>
    </row>
    <row r="98" spans="1:9" s="127" customFormat="1" ht="34.5" customHeight="1">
      <c r="A98" s="203"/>
      <c r="B98" s="204"/>
      <c r="C98" s="205"/>
      <c r="D98" s="205"/>
      <c r="E98" s="205"/>
      <c r="F98" s="206"/>
      <c r="G98" s="207"/>
      <c r="H98" s="208"/>
      <c r="I98" s="208"/>
    </row>
    <row r="99" spans="1:9" s="127" customFormat="1" ht="34.5" customHeight="1">
      <c r="A99" s="203"/>
      <c r="B99" s="204"/>
      <c r="C99" s="205"/>
      <c r="D99" s="205"/>
      <c r="E99" s="205"/>
      <c r="F99" s="206"/>
      <c r="G99" s="207"/>
      <c r="H99" s="208"/>
      <c r="I99" s="208"/>
    </row>
    <row r="100" spans="1:9" s="127" customFormat="1" ht="34.5" customHeight="1">
      <c r="A100" s="203"/>
      <c r="B100" s="204"/>
      <c r="C100" s="205"/>
      <c r="D100" s="205"/>
      <c r="E100" s="205"/>
      <c r="F100" s="206"/>
      <c r="G100" s="207"/>
      <c r="H100" s="208"/>
      <c r="I100" s="208"/>
    </row>
    <row r="101" spans="1:9" s="127" customFormat="1" ht="34.5" customHeight="1">
      <c r="A101" s="203"/>
      <c r="B101" s="204"/>
      <c r="C101" s="205"/>
      <c r="D101" s="205"/>
      <c r="E101" s="205"/>
      <c r="F101" s="206"/>
      <c r="G101" s="207"/>
      <c r="H101" s="208"/>
      <c r="I101" s="208"/>
    </row>
    <row r="102" spans="1:9" s="127" customFormat="1" ht="34.5" customHeight="1">
      <c r="A102" s="203"/>
      <c r="B102" s="204"/>
      <c r="C102" s="205"/>
      <c r="D102" s="205"/>
      <c r="E102" s="205"/>
      <c r="F102" s="206"/>
      <c r="G102" s="207"/>
      <c r="H102" s="208"/>
      <c r="I102" s="208"/>
    </row>
    <row r="103" spans="1:9" s="127" customFormat="1" ht="34.5" customHeight="1">
      <c r="A103" s="203"/>
      <c r="B103" s="204"/>
      <c r="C103" s="205"/>
      <c r="D103" s="205"/>
      <c r="E103" s="205"/>
      <c r="F103" s="206"/>
      <c r="G103" s="207"/>
      <c r="H103" s="208"/>
      <c r="I103" s="208"/>
    </row>
    <row r="104" spans="1:9" s="127" customFormat="1" ht="34.5" customHeight="1">
      <c r="A104" s="203"/>
      <c r="B104" s="204"/>
      <c r="C104" s="205"/>
      <c r="D104" s="205"/>
      <c r="E104" s="205"/>
      <c r="F104" s="206"/>
      <c r="G104" s="207"/>
      <c r="H104" s="208"/>
      <c r="I104" s="208"/>
    </row>
    <row r="105" spans="1:9" s="127" customFormat="1" ht="34.5" customHeight="1">
      <c r="A105" s="203"/>
      <c r="B105" s="204"/>
      <c r="C105" s="205"/>
      <c r="D105" s="205"/>
      <c r="E105" s="205"/>
      <c r="F105" s="206"/>
      <c r="G105" s="207"/>
      <c r="H105" s="208"/>
      <c r="I105" s="208"/>
    </row>
    <row r="106" spans="1:9" s="127" customFormat="1" ht="34.5" customHeight="1">
      <c r="A106" s="203"/>
      <c r="B106" s="204"/>
      <c r="C106" s="205"/>
      <c r="D106" s="205"/>
      <c r="E106" s="205"/>
      <c r="F106" s="206"/>
      <c r="G106" s="207"/>
      <c r="H106" s="208"/>
      <c r="I106" s="208"/>
    </row>
    <row r="107" spans="1:9" s="127" customFormat="1" ht="34.5" customHeight="1">
      <c r="A107" s="203"/>
      <c r="B107" s="204"/>
      <c r="C107" s="205"/>
      <c r="D107" s="205"/>
      <c r="E107" s="205"/>
      <c r="F107" s="206"/>
      <c r="G107" s="207"/>
      <c r="H107" s="208"/>
      <c r="I107" s="208"/>
    </row>
    <row r="108" spans="1:9" s="127" customFormat="1" ht="34.5" customHeight="1">
      <c r="A108" s="203"/>
      <c r="B108" s="204"/>
      <c r="C108" s="205"/>
      <c r="D108" s="205"/>
      <c r="E108" s="205"/>
      <c r="F108" s="206"/>
      <c r="G108" s="207"/>
      <c r="H108" s="208"/>
      <c r="I108" s="208"/>
    </row>
    <row r="109" spans="1:9" s="127" customFormat="1" ht="34.5" customHeight="1">
      <c r="A109" s="203"/>
      <c r="B109" s="204"/>
      <c r="C109" s="205"/>
      <c r="D109" s="205"/>
      <c r="E109" s="205"/>
      <c r="F109" s="206"/>
      <c r="G109" s="207"/>
      <c r="H109" s="208"/>
      <c r="I109" s="208"/>
    </row>
    <row r="110" spans="1:9" s="127" customFormat="1" ht="34.5" customHeight="1">
      <c r="A110" s="203"/>
      <c r="B110" s="204"/>
      <c r="C110" s="205"/>
      <c r="D110" s="205"/>
      <c r="E110" s="205"/>
      <c r="F110" s="206"/>
      <c r="G110" s="207"/>
      <c r="H110" s="208"/>
      <c r="I110" s="208"/>
    </row>
    <row r="111" spans="1:9" s="127" customFormat="1" ht="34.5" customHeight="1">
      <c r="A111" s="203"/>
      <c r="B111" s="204"/>
      <c r="C111" s="205"/>
      <c r="D111" s="205"/>
      <c r="E111" s="205"/>
      <c r="F111" s="206"/>
      <c r="G111" s="207"/>
      <c r="H111" s="208"/>
      <c r="I111" s="208"/>
    </row>
    <row r="112" spans="1:9" s="127" customFormat="1" ht="34.5" customHeight="1">
      <c r="A112" s="203"/>
      <c r="B112" s="204"/>
      <c r="C112" s="205"/>
      <c r="D112" s="205"/>
      <c r="E112" s="205"/>
      <c r="F112" s="206"/>
      <c r="G112" s="207"/>
      <c r="H112" s="208"/>
      <c r="I112" s="208"/>
    </row>
    <row r="113" spans="1:9" s="127" customFormat="1" ht="34.5" customHeight="1">
      <c r="A113" s="203"/>
      <c r="B113" s="204"/>
      <c r="C113" s="205"/>
      <c r="D113" s="205"/>
      <c r="E113" s="205"/>
      <c r="F113" s="206"/>
      <c r="G113" s="207"/>
      <c r="H113" s="208"/>
      <c r="I113" s="208"/>
    </row>
    <row r="114" spans="1:9" s="127" customFormat="1" ht="34.5" customHeight="1">
      <c r="A114" s="203"/>
      <c r="B114" s="204"/>
      <c r="C114" s="205"/>
      <c r="D114" s="205"/>
      <c r="E114" s="205"/>
      <c r="F114" s="206"/>
      <c r="G114" s="207"/>
      <c r="H114" s="208"/>
      <c r="I114" s="208"/>
    </row>
    <row r="115" spans="1:9" s="127" customFormat="1" ht="34.5" customHeight="1">
      <c r="A115" s="203"/>
      <c r="B115" s="204"/>
      <c r="C115" s="205"/>
      <c r="D115" s="205"/>
      <c r="E115" s="205"/>
      <c r="F115" s="206"/>
      <c r="G115" s="207"/>
      <c r="H115" s="208"/>
      <c r="I115" s="208"/>
    </row>
    <row r="116" spans="1:9" s="127" customFormat="1" ht="34.5" customHeight="1">
      <c r="A116" s="203"/>
      <c r="B116" s="204"/>
      <c r="C116" s="205"/>
      <c r="D116" s="205"/>
      <c r="E116" s="205"/>
      <c r="F116" s="206"/>
      <c r="G116" s="207"/>
      <c r="H116" s="208"/>
      <c r="I116" s="208"/>
    </row>
    <row r="117" spans="1:9" s="127" customFormat="1" ht="34.5" customHeight="1">
      <c r="A117" s="203"/>
      <c r="B117" s="204"/>
      <c r="C117" s="205"/>
      <c r="D117" s="205"/>
      <c r="E117" s="205"/>
      <c r="F117" s="206"/>
      <c r="G117" s="207"/>
      <c r="H117" s="208"/>
      <c r="I117" s="208"/>
    </row>
    <row r="118" spans="1:9" s="127" customFormat="1" ht="34.5" customHeight="1">
      <c r="A118" s="203"/>
      <c r="B118" s="204"/>
      <c r="C118" s="205"/>
      <c r="D118" s="205"/>
      <c r="E118" s="205"/>
      <c r="F118" s="206"/>
      <c r="G118" s="207"/>
      <c r="H118" s="208"/>
      <c r="I118" s="208"/>
    </row>
    <row r="119" spans="1:9" s="127" customFormat="1" ht="34.5" customHeight="1">
      <c r="A119" s="203"/>
      <c r="B119" s="204"/>
      <c r="C119" s="205"/>
      <c r="D119" s="205"/>
      <c r="E119" s="205"/>
      <c r="F119" s="206"/>
      <c r="G119" s="207"/>
      <c r="H119" s="208"/>
      <c r="I119" s="208"/>
    </row>
    <row r="120" spans="1:9" s="127" customFormat="1" ht="34.5" customHeight="1">
      <c r="A120" s="203"/>
      <c r="B120" s="204"/>
      <c r="C120" s="205"/>
      <c r="D120" s="205"/>
      <c r="E120" s="205"/>
      <c r="F120" s="206"/>
      <c r="G120" s="207"/>
      <c r="H120" s="208"/>
      <c r="I120" s="208"/>
    </row>
    <row r="121" spans="1:9" s="127" customFormat="1" ht="34.5" customHeight="1">
      <c r="A121" s="203"/>
      <c r="B121" s="204"/>
      <c r="C121" s="205"/>
      <c r="D121" s="205"/>
      <c r="E121" s="205"/>
      <c r="F121" s="206"/>
      <c r="G121" s="207"/>
      <c r="H121" s="208"/>
      <c r="I121" s="208"/>
    </row>
    <row r="122" spans="1:9" s="127" customFormat="1" ht="34.5" customHeight="1">
      <c r="A122" s="203"/>
      <c r="B122" s="204"/>
      <c r="C122" s="205"/>
      <c r="D122" s="205"/>
      <c r="E122" s="205"/>
      <c r="F122" s="206"/>
      <c r="G122" s="207"/>
      <c r="H122" s="208"/>
      <c r="I122" s="208"/>
    </row>
    <row r="123" spans="1:9" s="127" customFormat="1" ht="34.5" customHeight="1">
      <c r="A123" s="203"/>
      <c r="B123" s="204"/>
      <c r="C123" s="205"/>
      <c r="D123" s="205"/>
      <c r="E123" s="205"/>
      <c r="F123" s="206"/>
      <c r="G123" s="207"/>
      <c r="H123" s="208"/>
      <c r="I123" s="208"/>
    </row>
    <row r="124" spans="1:9" s="127" customFormat="1" ht="34.5" customHeight="1">
      <c r="A124" s="203"/>
      <c r="B124" s="204"/>
      <c r="C124" s="205"/>
      <c r="D124" s="205"/>
      <c r="E124" s="205"/>
      <c r="F124" s="206"/>
      <c r="G124" s="207"/>
      <c r="H124" s="208"/>
      <c r="I124" s="208"/>
    </row>
    <row r="125" spans="1:9" s="127" customFormat="1" ht="34.5" customHeight="1">
      <c r="A125" s="203"/>
      <c r="B125" s="204"/>
      <c r="C125" s="205"/>
      <c r="D125" s="205"/>
      <c r="E125" s="205"/>
      <c r="F125" s="206"/>
      <c r="G125" s="207"/>
      <c r="H125" s="208"/>
      <c r="I125" s="208"/>
    </row>
    <row r="126" spans="1:9" s="127" customFormat="1" ht="34.5" customHeight="1">
      <c r="A126" s="203"/>
      <c r="B126" s="204"/>
      <c r="C126" s="205"/>
      <c r="D126" s="205"/>
      <c r="E126" s="205"/>
      <c r="F126" s="206"/>
      <c r="G126" s="207"/>
      <c r="H126" s="208"/>
      <c r="I126" s="208"/>
    </row>
    <row r="127" spans="1:9" s="127" customFormat="1" ht="34.5" customHeight="1">
      <c r="A127" s="203"/>
      <c r="B127" s="204"/>
      <c r="C127" s="205"/>
      <c r="D127" s="205"/>
      <c r="E127" s="205"/>
      <c r="F127" s="206"/>
      <c r="G127" s="207"/>
      <c r="H127" s="208"/>
      <c r="I127" s="208"/>
    </row>
    <row r="128" spans="1:9" s="127" customFormat="1" ht="34.5" customHeight="1">
      <c r="A128" s="203"/>
      <c r="B128" s="204"/>
      <c r="C128" s="205"/>
      <c r="D128" s="205"/>
      <c r="E128" s="205"/>
      <c r="F128" s="206"/>
      <c r="G128" s="207"/>
      <c r="H128" s="208"/>
      <c r="I128" s="208"/>
    </row>
    <row r="129" spans="1:9" s="127" customFormat="1" ht="34.5" customHeight="1">
      <c r="A129" s="203"/>
      <c r="B129" s="204"/>
      <c r="C129" s="205"/>
      <c r="D129" s="205"/>
      <c r="E129" s="205"/>
      <c r="F129" s="206"/>
      <c r="G129" s="207"/>
      <c r="H129" s="208"/>
      <c r="I129" s="208"/>
    </row>
    <row r="130" spans="1:9" s="127" customFormat="1" ht="34.5" customHeight="1">
      <c r="A130" s="203"/>
      <c r="B130" s="204"/>
      <c r="C130" s="205"/>
      <c r="D130" s="205"/>
      <c r="E130" s="205"/>
      <c r="F130" s="206"/>
      <c r="G130" s="207"/>
      <c r="H130" s="208"/>
      <c r="I130" s="208"/>
    </row>
    <row r="131" spans="1:9" s="127" customFormat="1" ht="34.5" customHeight="1">
      <c r="A131" s="203"/>
      <c r="B131" s="204"/>
      <c r="C131" s="205"/>
      <c r="D131" s="205"/>
      <c r="E131" s="205"/>
      <c r="F131" s="206"/>
      <c r="G131" s="207"/>
      <c r="H131" s="208"/>
      <c r="I131" s="208"/>
    </row>
    <row r="132" spans="1:9" s="127" customFormat="1" ht="34.5" customHeight="1">
      <c r="A132" s="203"/>
      <c r="B132" s="204"/>
      <c r="C132" s="205"/>
      <c r="D132" s="205"/>
      <c r="E132" s="205"/>
      <c r="F132" s="206"/>
      <c r="G132" s="207"/>
      <c r="H132" s="208"/>
      <c r="I132" s="208"/>
    </row>
    <row r="133" spans="1:9" s="127" customFormat="1" ht="34.5" customHeight="1">
      <c r="A133" s="203"/>
      <c r="B133" s="204"/>
      <c r="C133" s="205"/>
      <c r="D133" s="205"/>
      <c r="E133" s="205"/>
      <c r="F133" s="206"/>
      <c r="G133" s="207"/>
      <c r="H133" s="208"/>
      <c r="I133" s="208"/>
    </row>
    <row r="134" spans="1:9" s="127" customFormat="1" ht="34.5" customHeight="1">
      <c r="A134" s="203"/>
      <c r="B134" s="204"/>
      <c r="C134" s="205"/>
      <c r="D134" s="205"/>
      <c r="E134" s="205"/>
      <c r="F134" s="206"/>
      <c r="G134" s="207"/>
      <c r="H134" s="208"/>
      <c r="I134" s="208"/>
    </row>
    <row r="135" spans="1:9" s="127" customFormat="1" ht="34.5" customHeight="1">
      <c r="A135" s="203"/>
      <c r="B135" s="204"/>
      <c r="C135" s="205"/>
      <c r="D135" s="205"/>
      <c r="E135" s="205"/>
      <c r="F135" s="206"/>
      <c r="G135" s="207"/>
      <c r="H135" s="208"/>
      <c r="I135" s="208"/>
    </row>
    <row r="136" s="127" customFormat="1" ht="19.5" customHeight="1"/>
    <row r="137" spans="1:9" s="127" customFormat="1" ht="15.75">
      <c r="A137" s="210" t="s">
        <v>321</v>
      </c>
      <c r="B137" s="210"/>
      <c r="C137" s="210"/>
      <c r="D137" s="169"/>
      <c r="E137" s="169"/>
      <c r="F137" s="169"/>
      <c r="G137" s="169"/>
      <c r="H137" s="169"/>
      <c r="I137" s="169"/>
    </row>
    <row r="138" spans="1:9" s="127" customFormat="1" ht="15">
      <c r="A138" s="211" t="s">
        <v>322</v>
      </c>
      <c r="B138" s="211"/>
      <c r="C138" s="211"/>
      <c r="D138" s="169"/>
      <c r="E138" s="169"/>
      <c r="F138" s="169"/>
      <c r="G138" s="169"/>
      <c r="H138" s="169"/>
      <c r="I138" s="169"/>
    </row>
    <row r="139" spans="1:9" s="127" customFormat="1" ht="15">
      <c r="A139" s="169"/>
      <c r="B139" s="169"/>
      <c r="C139" s="169"/>
      <c r="D139" s="169"/>
      <c r="E139" s="169"/>
      <c r="F139" s="169"/>
      <c r="G139" s="169"/>
      <c r="H139" s="169"/>
      <c r="I139" s="169"/>
    </row>
    <row r="140" spans="1:9" s="127" customFormat="1" ht="15">
      <c r="A140" s="169"/>
      <c r="B140" s="169"/>
      <c r="C140" s="169"/>
      <c r="D140" s="169"/>
      <c r="E140" s="169"/>
      <c r="F140" s="169"/>
      <c r="G140" s="169"/>
      <c r="H140" s="169"/>
      <c r="I140" s="169"/>
    </row>
    <row r="141" spans="1:9" s="127" customFormat="1" ht="15">
      <c r="A141" s="169"/>
      <c r="B141" s="169"/>
      <c r="C141" s="169"/>
      <c r="D141" s="169"/>
      <c r="E141" s="169"/>
      <c r="F141" s="169"/>
      <c r="G141" s="169"/>
      <c r="H141" s="169"/>
      <c r="I141" s="169"/>
    </row>
    <row r="142" s="127" customFormat="1" ht="15"/>
  </sheetData>
  <sheetProtection/>
  <mergeCells count="9">
    <mergeCell ref="I4:I6"/>
    <mergeCell ref="A1:H1"/>
    <mergeCell ref="A2:H2"/>
    <mergeCell ref="A4:A6"/>
    <mergeCell ref="B4:B6"/>
    <mergeCell ref="C4:E6"/>
    <mergeCell ref="F4:F6"/>
    <mergeCell ref="G4:G6"/>
    <mergeCell ref="H4:H6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9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9.140625" defaultRowHeight="15"/>
  <cols>
    <col min="1" max="1" width="7.57421875" style="0" customWidth="1"/>
    <col min="2" max="2" width="72.421875" style="0" customWidth="1"/>
    <col min="3" max="3" width="13.140625" style="0" customWidth="1"/>
    <col min="4" max="4" width="12.7109375" style="0" customWidth="1"/>
    <col min="5" max="5" width="12.8515625" style="0" customWidth="1"/>
    <col min="6" max="6" width="13.28125" style="0" customWidth="1"/>
    <col min="7" max="7" width="11.28125" style="0" customWidth="1"/>
    <col min="8" max="8" width="12.7109375" style="0" customWidth="1"/>
    <col min="9" max="10" width="12.140625" style="0" customWidth="1"/>
    <col min="11" max="11" width="11.57421875" style="0" customWidth="1"/>
    <col min="15" max="15" width="9.8515625" style="0" bestFit="1" customWidth="1"/>
  </cols>
  <sheetData>
    <row r="1" spans="1:5" ht="39" customHeight="1">
      <c r="A1" s="643" t="s">
        <v>57</v>
      </c>
      <c r="B1" s="643"/>
      <c r="C1" s="643"/>
      <c r="D1" s="643"/>
      <c r="E1" s="643"/>
    </row>
    <row r="2" spans="1:15" ht="66" customHeight="1">
      <c r="A2" s="644" t="s">
        <v>8</v>
      </c>
      <c r="B2" s="644"/>
      <c r="C2" s="644"/>
      <c r="D2" s="644"/>
      <c r="E2" s="644"/>
      <c r="G2" s="107"/>
      <c r="I2" s="107"/>
      <c r="J2" s="107"/>
      <c r="O2" s="152"/>
    </row>
    <row r="3" spans="1:9" ht="15">
      <c r="A3" s="2"/>
      <c r="C3" s="107"/>
      <c r="D3" s="107"/>
      <c r="F3" s="107"/>
      <c r="I3" s="107"/>
    </row>
    <row r="4" spans="1:11" ht="26.25" customHeight="1">
      <c r="A4" s="642" t="s">
        <v>9</v>
      </c>
      <c r="B4" s="642" t="s">
        <v>10</v>
      </c>
      <c r="C4" s="641" t="s">
        <v>223</v>
      </c>
      <c r="D4" s="641"/>
      <c r="E4" s="641"/>
      <c r="F4" s="641" t="s">
        <v>234</v>
      </c>
      <c r="G4" s="641"/>
      <c r="H4" s="641"/>
      <c r="I4" s="641" t="s">
        <v>235</v>
      </c>
      <c r="J4" s="641"/>
      <c r="K4" s="641"/>
    </row>
    <row r="5" spans="1:11" ht="15">
      <c r="A5" s="642"/>
      <c r="B5" s="642"/>
      <c r="C5" s="642" t="s">
        <v>11</v>
      </c>
      <c r="D5" s="642"/>
      <c r="E5" s="642"/>
      <c r="F5" s="642" t="s">
        <v>11</v>
      </c>
      <c r="G5" s="642"/>
      <c r="H5" s="642"/>
      <c r="I5" s="642" t="s">
        <v>11</v>
      </c>
      <c r="J5" s="642"/>
      <c r="K5" s="642"/>
    </row>
    <row r="6" spans="1:14" ht="66" customHeight="1">
      <c r="A6" s="642"/>
      <c r="B6" s="642"/>
      <c r="C6" s="157">
        <v>2016</v>
      </c>
      <c r="D6" s="157">
        <v>2017</v>
      </c>
      <c r="E6" s="32" t="s">
        <v>12</v>
      </c>
      <c r="F6" s="157">
        <v>2016</v>
      </c>
      <c r="G6" s="157">
        <v>2017</v>
      </c>
      <c r="H6" s="113" t="s">
        <v>12</v>
      </c>
      <c r="I6" s="157">
        <v>2016</v>
      </c>
      <c r="J6" s="157">
        <v>2017</v>
      </c>
      <c r="K6" s="32" t="s">
        <v>12</v>
      </c>
      <c r="N6" s="152"/>
    </row>
    <row r="7" spans="1:15" ht="15">
      <c r="A7" s="32">
        <v>1</v>
      </c>
      <c r="B7" s="32">
        <v>2</v>
      </c>
      <c r="C7" s="158">
        <v>4</v>
      </c>
      <c r="D7" s="158">
        <v>4</v>
      </c>
      <c r="E7" s="32">
        <v>5</v>
      </c>
      <c r="F7" s="158">
        <v>7</v>
      </c>
      <c r="G7" s="158">
        <v>7</v>
      </c>
      <c r="H7" s="32">
        <v>8</v>
      </c>
      <c r="I7" s="158">
        <v>10</v>
      </c>
      <c r="J7" s="158">
        <v>10</v>
      </c>
      <c r="K7" s="32">
        <v>11</v>
      </c>
      <c r="N7" t="s">
        <v>251</v>
      </c>
      <c r="O7" t="s">
        <v>252</v>
      </c>
    </row>
    <row r="8" spans="1:18" ht="36" customHeight="1">
      <c r="A8" s="9">
        <v>1</v>
      </c>
      <c r="B8" s="5" t="s">
        <v>30</v>
      </c>
      <c r="C8" s="284">
        <f>3510.933/721</f>
        <v>4.869532593619972</v>
      </c>
      <c r="D8" s="368">
        <f>597.72/1599</f>
        <v>0.37380863039399626</v>
      </c>
      <c r="E8" s="285">
        <f>D8/C8*100</f>
        <v>7.676478660061907</v>
      </c>
      <c r="F8" s="284">
        <f>1081.15/856</f>
        <v>1.2630257009345796</v>
      </c>
      <c r="G8" s="368">
        <f>31.81/2264</f>
        <v>0.014050353356890458</v>
      </c>
      <c r="H8" s="285">
        <f>G8/F8*100</f>
        <v>1.1124360609996977</v>
      </c>
      <c r="I8" s="284">
        <f>4592.083/1577</f>
        <v>2.9119105897273303</v>
      </c>
      <c r="J8" s="368">
        <f>629.53/3863</f>
        <v>0.1629640176028993</v>
      </c>
      <c r="K8" s="285">
        <f>J8/I8*100</f>
        <v>5.596463647537996</v>
      </c>
      <c r="M8" s="154">
        <v>2017</v>
      </c>
      <c r="N8" s="281">
        <f>N9+N10+N11+N12</f>
        <v>1599</v>
      </c>
      <c r="O8" s="155">
        <f>O9+O10+O11+O12</f>
        <v>2264</v>
      </c>
      <c r="P8" s="154">
        <f aca="true" t="shared" si="0" ref="P8:P17">N8+O8</f>
        <v>3863</v>
      </c>
      <c r="Q8" s="156"/>
      <c r="R8" s="156"/>
    </row>
    <row r="9" spans="1:16" ht="24.75" customHeight="1">
      <c r="A9" s="3" t="s">
        <v>26</v>
      </c>
      <c r="B9" s="7" t="s">
        <v>13</v>
      </c>
      <c r="C9" s="232" t="s">
        <v>158</v>
      </c>
      <c r="D9" s="232" t="s">
        <v>158</v>
      </c>
      <c r="E9" s="25" t="s">
        <v>158</v>
      </c>
      <c r="F9" s="232" t="s">
        <v>158</v>
      </c>
      <c r="G9" s="369" t="s">
        <v>158</v>
      </c>
      <c r="H9" s="25" t="s">
        <v>158</v>
      </c>
      <c r="I9" s="232" t="s">
        <v>158</v>
      </c>
      <c r="J9" s="369" t="s">
        <v>158</v>
      </c>
      <c r="K9" s="25" t="s">
        <v>158</v>
      </c>
      <c r="M9" t="s">
        <v>20</v>
      </c>
      <c r="N9" s="17">
        <v>11</v>
      </c>
      <c r="O9" s="17">
        <v>4</v>
      </c>
      <c r="P9">
        <f t="shared" si="0"/>
        <v>15</v>
      </c>
    </row>
    <row r="10" spans="1:16" ht="24.75" customHeight="1">
      <c r="A10" s="3" t="s">
        <v>27</v>
      </c>
      <c r="B10" s="7" t="s">
        <v>14</v>
      </c>
      <c r="C10" s="232" t="s">
        <v>158</v>
      </c>
      <c r="D10" s="232" t="s">
        <v>158</v>
      </c>
      <c r="E10" s="25" t="s">
        <v>158</v>
      </c>
      <c r="F10" s="232" t="s">
        <v>158</v>
      </c>
      <c r="G10" s="369" t="s">
        <v>158</v>
      </c>
      <c r="H10" s="25" t="s">
        <v>158</v>
      </c>
      <c r="I10" s="232" t="s">
        <v>158</v>
      </c>
      <c r="J10" s="369" t="s">
        <v>158</v>
      </c>
      <c r="K10" s="25" t="s">
        <v>158</v>
      </c>
      <c r="M10" t="s">
        <v>21</v>
      </c>
      <c r="N10" s="17">
        <v>0</v>
      </c>
      <c r="O10" s="17">
        <v>11</v>
      </c>
      <c r="P10">
        <f t="shared" si="0"/>
        <v>11</v>
      </c>
    </row>
    <row r="11" spans="1:16" ht="24.75" customHeight="1">
      <c r="A11" s="3" t="s">
        <v>28</v>
      </c>
      <c r="B11" s="7" t="s">
        <v>15</v>
      </c>
      <c r="C11" s="232" t="s">
        <v>158</v>
      </c>
      <c r="D11" s="232" t="s">
        <v>158</v>
      </c>
      <c r="E11" s="25" t="s">
        <v>158</v>
      </c>
      <c r="F11" s="232" t="s">
        <v>158</v>
      </c>
      <c r="G11" s="369" t="s">
        <v>158</v>
      </c>
      <c r="H11" s="25" t="s">
        <v>158</v>
      </c>
      <c r="I11" s="232" t="s">
        <v>158</v>
      </c>
      <c r="J11" s="369" t="s">
        <v>158</v>
      </c>
      <c r="K11" s="25" t="s">
        <v>158</v>
      </c>
      <c r="M11" t="s">
        <v>22</v>
      </c>
      <c r="N11" s="17">
        <v>419</v>
      </c>
      <c r="O11" s="17">
        <v>234</v>
      </c>
      <c r="P11">
        <f t="shared" si="0"/>
        <v>653</v>
      </c>
    </row>
    <row r="12" spans="1:16" ht="24.75" customHeight="1">
      <c r="A12" s="3" t="s">
        <v>29</v>
      </c>
      <c r="B12" s="7" t="s">
        <v>16</v>
      </c>
      <c r="C12" s="232" t="s">
        <v>158</v>
      </c>
      <c r="D12" s="232" t="s">
        <v>158</v>
      </c>
      <c r="E12" s="25" t="s">
        <v>158</v>
      </c>
      <c r="F12" s="232" t="s">
        <v>158</v>
      </c>
      <c r="G12" s="369" t="s">
        <v>158</v>
      </c>
      <c r="H12" s="25" t="s">
        <v>158</v>
      </c>
      <c r="I12" s="232" t="s">
        <v>158</v>
      </c>
      <c r="J12" s="369" t="s">
        <v>158</v>
      </c>
      <c r="K12" s="25" t="s">
        <v>158</v>
      </c>
      <c r="M12" t="s">
        <v>23</v>
      </c>
      <c r="N12" s="370">
        <v>1169</v>
      </c>
      <c r="O12" s="371">
        <v>2015</v>
      </c>
      <c r="P12">
        <f t="shared" si="0"/>
        <v>3184</v>
      </c>
    </row>
    <row r="13" spans="1:18" ht="36" customHeight="1">
      <c r="A13" s="8">
        <v>2</v>
      </c>
      <c r="B13" s="5" t="s">
        <v>39</v>
      </c>
      <c r="C13" s="284">
        <f>458/721</f>
        <v>0.6352288488210819</v>
      </c>
      <c r="D13" s="368">
        <f>291/1599</f>
        <v>0.18198874296435272</v>
      </c>
      <c r="E13" s="285">
        <f>D13/C13*100</f>
        <v>28.649319580196135</v>
      </c>
      <c r="F13" s="284">
        <f>544/856</f>
        <v>0.6355140186915887</v>
      </c>
      <c r="G13" s="368">
        <f>38/2264</f>
        <v>0.01678445229681979</v>
      </c>
      <c r="H13" s="285">
        <f>G13/F13*100</f>
        <v>2.641082934940761</v>
      </c>
      <c r="I13" s="284">
        <f>1002/1577</f>
        <v>0.6353836398224477</v>
      </c>
      <c r="J13" s="368">
        <f>329/3863</f>
        <v>0.0851669686771939</v>
      </c>
      <c r="K13" s="285">
        <f>J13/I13*100</f>
        <v>13.404022914564347</v>
      </c>
      <c r="M13" s="154">
        <v>2016</v>
      </c>
      <c r="N13" s="281">
        <f>N14+N15+N16+N17</f>
        <v>721</v>
      </c>
      <c r="O13" s="155">
        <f>O14+O15+O16+O17</f>
        <v>856</v>
      </c>
      <c r="P13" s="154">
        <f t="shared" si="0"/>
        <v>1577</v>
      </c>
      <c r="Q13" s="156"/>
      <c r="R13" s="156"/>
    </row>
    <row r="14" spans="1:16" ht="24.75" customHeight="1">
      <c r="A14" s="3" t="s">
        <v>31</v>
      </c>
      <c r="B14" s="7" t="s">
        <v>13</v>
      </c>
      <c r="C14" s="232" t="s">
        <v>158</v>
      </c>
      <c r="D14" s="232" t="s">
        <v>158</v>
      </c>
      <c r="E14" s="25" t="s">
        <v>158</v>
      </c>
      <c r="F14" s="232" t="s">
        <v>158</v>
      </c>
      <c r="G14" s="369" t="s">
        <v>158</v>
      </c>
      <c r="H14" s="25" t="s">
        <v>158</v>
      </c>
      <c r="I14" s="232" t="s">
        <v>158</v>
      </c>
      <c r="J14" s="369" t="s">
        <v>158</v>
      </c>
      <c r="K14" s="25" t="s">
        <v>158</v>
      </c>
      <c r="M14" t="s">
        <v>20</v>
      </c>
      <c r="N14">
        <v>1</v>
      </c>
      <c r="O14">
        <v>1</v>
      </c>
      <c r="P14">
        <f t="shared" si="0"/>
        <v>2</v>
      </c>
    </row>
    <row r="15" spans="1:16" ht="24.75" customHeight="1">
      <c r="A15" s="3" t="s">
        <v>32</v>
      </c>
      <c r="B15" s="7" t="s">
        <v>14</v>
      </c>
      <c r="C15" s="232" t="s">
        <v>158</v>
      </c>
      <c r="D15" s="232" t="s">
        <v>158</v>
      </c>
      <c r="E15" s="25" t="s">
        <v>158</v>
      </c>
      <c r="F15" s="232" t="s">
        <v>158</v>
      </c>
      <c r="G15" s="232" t="s">
        <v>158</v>
      </c>
      <c r="H15" s="25" t="s">
        <v>158</v>
      </c>
      <c r="I15" s="232" t="s">
        <v>158</v>
      </c>
      <c r="J15" s="232" t="s">
        <v>158</v>
      </c>
      <c r="K15" s="25" t="s">
        <v>158</v>
      </c>
      <c r="M15" t="s">
        <v>21</v>
      </c>
      <c r="O15">
        <v>3</v>
      </c>
      <c r="P15">
        <f t="shared" si="0"/>
        <v>3</v>
      </c>
    </row>
    <row r="16" spans="1:16" ht="24.75" customHeight="1">
      <c r="A16" s="3" t="s">
        <v>33</v>
      </c>
      <c r="B16" s="7" t="s">
        <v>15</v>
      </c>
      <c r="C16" s="232" t="s">
        <v>158</v>
      </c>
      <c r="D16" s="232" t="s">
        <v>158</v>
      </c>
      <c r="E16" s="25" t="s">
        <v>158</v>
      </c>
      <c r="F16" s="232" t="s">
        <v>158</v>
      </c>
      <c r="G16" s="232" t="s">
        <v>158</v>
      </c>
      <c r="H16" s="25" t="s">
        <v>158</v>
      </c>
      <c r="I16" s="232" t="s">
        <v>158</v>
      </c>
      <c r="J16" s="232" t="s">
        <v>158</v>
      </c>
      <c r="K16" s="25" t="s">
        <v>158</v>
      </c>
      <c r="M16" t="s">
        <v>22</v>
      </c>
      <c r="N16">
        <v>107</v>
      </c>
      <c r="O16">
        <v>98</v>
      </c>
      <c r="P16">
        <f t="shared" si="0"/>
        <v>205</v>
      </c>
    </row>
    <row r="17" spans="1:16" ht="24.75" customHeight="1">
      <c r="A17" s="3" t="s">
        <v>34</v>
      </c>
      <c r="B17" s="7" t="s">
        <v>16</v>
      </c>
      <c r="C17" s="232" t="s">
        <v>158</v>
      </c>
      <c r="D17" s="232" t="s">
        <v>158</v>
      </c>
      <c r="E17" s="25" t="s">
        <v>158</v>
      </c>
      <c r="F17" s="232" t="s">
        <v>158</v>
      </c>
      <c r="G17" s="232" t="s">
        <v>158</v>
      </c>
      <c r="H17" s="25" t="s">
        <v>158</v>
      </c>
      <c r="I17" s="232" t="s">
        <v>158</v>
      </c>
      <c r="J17" s="232" t="s">
        <v>158</v>
      </c>
      <c r="K17" s="25" t="s">
        <v>158</v>
      </c>
      <c r="M17" t="s">
        <v>23</v>
      </c>
      <c r="N17" s="152">
        <f>273+340</f>
        <v>613</v>
      </c>
      <c r="O17" s="153">
        <f>377+377</f>
        <v>754</v>
      </c>
      <c r="P17">
        <f t="shared" si="0"/>
        <v>1367</v>
      </c>
    </row>
    <row r="18" spans="1:18" ht="84.75" customHeight="1">
      <c r="A18" s="9">
        <v>3</v>
      </c>
      <c r="B18" s="5" t="s">
        <v>40</v>
      </c>
      <c r="C18" s="232" t="s">
        <v>158</v>
      </c>
      <c r="D18" s="368">
        <f>4243.04/1599</f>
        <v>2.653558474046279</v>
      </c>
      <c r="E18" s="25" t="s">
        <v>158</v>
      </c>
      <c r="F18" s="232" t="s">
        <v>158</v>
      </c>
      <c r="G18" s="368">
        <f>2084.21/2264</f>
        <v>0.9205874558303887</v>
      </c>
      <c r="H18" s="25" t="s">
        <v>158</v>
      </c>
      <c r="I18" s="232" t="s">
        <v>158</v>
      </c>
      <c r="J18" s="368">
        <f>6327.25/3863</f>
        <v>1.63791095003883</v>
      </c>
      <c r="K18" s="25" t="s">
        <v>158</v>
      </c>
      <c r="M18" s="154">
        <v>2015</v>
      </c>
      <c r="N18" s="155">
        <f>N19+N20+N21+N22</f>
        <v>717</v>
      </c>
      <c r="O18" s="155">
        <f>1+3+38+361+374</f>
        <v>777</v>
      </c>
      <c r="P18" s="154">
        <f aca="true" t="shared" si="1" ref="P18:P27">N18+O18</f>
        <v>1494</v>
      </c>
      <c r="Q18" s="156"/>
      <c r="R18" s="267"/>
    </row>
    <row r="19" spans="1:16" ht="24.75" customHeight="1">
      <c r="A19" s="3" t="s">
        <v>35</v>
      </c>
      <c r="B19" s="7" t="s">
        <v>13</v>
      </c>
      <c r="C19" s="232" t="s">
        <v>158</v>
      </c>
      <c r="D19" s="232" t="s">
        <v>158</v>
      </c>
      <c r="E19" s="25" t="s">
        <v>158</v>
      </c>
      <c r="F19" s="232" t="s">
        <v>158</v>
      </c>
      <c r="G19" s="232" t="s">
        <v>158</v>
      </c>
      <c r="H19" s="25" t="s">
        <v>158</v>
      </c>
      <c r="I19" s="232" t="s">
        <v>158</v>
      </c>
      <c r="J19" s="232" t="s">
        <v>158</v>
      </c>
      <c r="K19" s="25" t="s">
        <v>158</v>
      </c>
      <c r="M19" t="s">
        <v>20</v>
      </c>
      <c r="N19">
        <v>1</v>
      </c>
      <c r="O19">
        <v>1</v>
      </c>
      <c r="P19">
        <f t="shared" si="1"/>
        <v>2</v>
      </c>
    </row>
    <row r="20" spans="1:16" ht="24.75" customHeight="1">
      <c r="A20" s="3" t="s">
        <v>36</v>
      </c>
      <c r="B20" s="7" t="s">
        <v>14</v>
      </c>
      <c r="C20" s="232" t="s">
        <v>158</v>
      </c>
      <c r="D20" s="232" t="s">
        <v>158</v>
      </c>
      <c r="E20" s="25" t="s">
        <v>158</v>
      </c>
      <c r="F20" s="232" t="s">
        <v>158</v>
      </c>
      <c r="G20" s="232" t="s">
        <v>158</v>
      </c>
      <c r="H20" s="25" t="s">
        <v>158</v>
      </c>
      <c r="I20" s="232" t="s">
        <v>158</v>
      </c>
      <c r="J20" s="232" t="s">
        <v>158</v>
      </c>
      <c r="K20" s="25" t="s">
        <v>158</v>
      </c>
      <c r="M20" t="s">
        <v>21</v>
      </c>
      <c r="O20">
        <v>3</v>
      </c>
      <c r="P20">
        <f t="shared" si="1"/>
        <v>3</v>
      </c>
    </row>
    <row r="21" spans="1:16" ht="24.75" customHeight="1">
      <c r="A21" s="3" t="s">
        <v>37</v>
      </c>
      <c r="B21" s="7" t="s">
        <v>15</v>
      </c>
      <c r="C21" s="232" t="s">
        <v>158</v>
      </c>
      <c r="D21" s="232" t="s">
        <v>158</v>
      </c>
      <c r="E21" s="25" t="s">
        <v>158</v>
      </c>
      <c r="F21" s="232" t="s">
        <v>158</v>
      </c>
      <c r="G21" s="232" t="s">
        <v>158</v>
      </c>
      <c r="H21" s="25" t="s">
        <v>158</v>
      </c>
      <c r="I21" s="232" t="s">
        <v>158</v>
      </c>
      <c r="J21" s="232" t="s">
        <v>158</v>
      </c>
      <c r="K21" s="25" t="s">
        <v>158</v>
      </c>
      <c r="M21" t="s">
        <v>22</v>
      </c>
      <c r="N21">
        <v>83</v>
      </c>
      <c r="O21">
        <v>38</v>
      </c>
      <c r="P21">
        <f t="shared" si="1"/>
        <v>121</v>
      </c>
    </row>
    <row r="22" spans="1:16" ht="24.75" customHeight="1">
      <c r="A22" s="3" t="s">
        <v>38</v>
      </c>
      <c r="B22" s="7" t="s">
        <v>16</v>
      </c>
      <c r="C22" s="232" t="s">
        <v>158</v>
      </c>
      <c r="D22" s="232" t="s">
        <v>158</v>
      </c>
      <c r="E22" s="25" t="s">
        <v>158</v>
      </c>
      <c r="F22" s="232" t="s">
        <v>158</v>
      </c>
      <c r="G22" s="232" t="s">
        <v>158</v>
      </c>
      <c r="H22" s="25" t="s">
        <v>158</v>
      </c>
      <c r="I22" s="232" t="s">
        <v>158</v>
      </c>
      <c r="J22" s="232" t="s">
        <v>158</v>
      </c>
      <c r="K22" s="25" t="s">
        <v>158</v>
      </c>
      <c r="M22" t="s">
        <v>23</v>
      </c>
      <c r="N22" s="152">
        <f>266+367</f>
        <v>633</v>
      </c>
      <c r="O22" s="153">
        <f>361+374</f>
        <v>735</v>
      </c>
      <c r="P22">
        <f t="shared" si="1"/>
        <v>1368</v>
      </c>
    </row>
    <row r="23" spans="1:18" ht="70.5" customHeight="1">
      <c r="A23" s="9">
        <v>4</v>
      </c>
      <c r="B23" s="5" t="s">
        <v>41</v>
      </c>
      <c r="C23" s="232" t="s">
        <v>158</v>
      </c>
      <c r="D23" s="368">
        <f>313/1599</f>
        <v>0.1957473420888055</v>
      </c>
      <c r="E23" s="25" t="s">
        <v>158</v>
      </c>
      <c r="F23" s="232" t="s">
        <v>158</v>
      </c>
      <c r="G23" s="368">
        <f>416/2264</f>
        <v>0.18374558303886926</v>
      </c>
      <c r="H23" s="25" t="s">
        <v>158</v>
      </c>
      <c r="I23" s="232" t="s">
        <v>158</v>
      </c>
      <c r="J23" s="368">
        <f>729/3863</f>
        <v>0.18871343515402536</v>
      </c>
      <c r="K23" s="25" t="s">
        <v>158</v>
      </c>
      <c r="M23" s="154">
        <v>2014</v>
      </c>
      <c r="N23" s="154">
        <f>N24+N25+N26+N27</f>
        <v>704</v>
      </c>
      <c r="O23" s="154">
        <f>1+3+38+324+348</f>
        <v>714</v>
      </c>
      <c r="P23" s="154">
        <f t="shared" si="1"/>
        <v>1418</v>
      </c>
      <c r="Q23" s="156"/>
      <c r="R23" s="154"/>
    </row>
    <row r="24" spans="1:16" ht="24.75" customHeight="1">
      <c r="A24" s="3" t="s">
        <v>42</v>
      </c>
      <c r="B24" s="7" t="s">
        <v>13</v>
      </c>
      <c r="C24" s="160"/>
      <c r="D24" s="160"/>
      <c r="E24" s="25"/>
      <c r="F24" s="160"/>
      <c r="G24" s="160"/>
      <c r="H24" s="25"/>
      <c r="I24" s="160"/>
      <c r="J24" s="160"/>
      <c r="K24" s="25"/>
      <c r="M24" t="s">
        <v>20</v>
      </c>
      <c r="N24">
        <v>1</v>
      </c>
      <c r="O24">
        <v>1</v>
      </c>
      <c r="P24">
        <f t="shared" si="1"/>
        <v>2</v>
      </c>
    </row>
    <row r="25" spans="1:18" ht="24.75" customHeight="1">
      <c r="A25" s="3" t="s">
        <v>43</v>
      </c>
      <c r="B25" s="7" t="s">
        <v>14</v>
      </c>
      <c r="C25" s="160"/>
      <c r="D25" s="160"/>
      <c r="E25" s="25"/>
      <c r="F25" s="160"/>
      <c r="G25" s="160"/>
      <c r="H25" s="25"/>
      <c r="I25" s="160"/>
      <c r="J25" s="160"/>
      <c r="K25" s="25"/>
      <c r="M25" t="s">
        <v>21</v>
      </c>
      <c r="O25">
        <v>3</v>
      </c>
      <c r="P25">
        <f t="shared" si="1"/>
        <v>3</v>
      </c>
      <c r="R25" s="152"/>
    </row>
    <row r="26" spans="1:16" ht="24.75" customHeight="1">
      <c r="A26" s="3" t="s">
        <v>44</v>
      </c>
      <c r="B26" s="7" t="s">
        <v>15</v>
      </c>
      <c r="C26" s="160"/>
      <c r="D26" s="160"/>
      <c r="E26" s="25"/>
      <c r="F26" s="160"/>
      <c r="G26" s="160"/>
      <c r="H26" s="25"/>
      <c r="I26" s="160"/>
      <c r="J26" s="160"/>
      <c r="K26" s="25"/>
      <c r="M26" t="s">
        <v>22</v>
      </c>
      <c r="N26">
        <f>81</f>
        <v>81</v>
      </c>
      <c r="O26">
        <v>38</v>
      </c>
      <c r="P26">
        <f t="shared" si="1"/>
        <v>119</v>
      </c>
    </row>
    <row r="27" spans="1:16" ht="24.75" customHeight="1">
      <c r="A27" s="3" t="s">
        <v>45</v>
      </c>
      <c r="B27" s="7" t="s">
        <v>16</v>
      </c>
      <c r="C27" s="159"/>
      <c r="D27" s="159"/>
      <c r="E27" s="25"/>
      <c r="F27" s="159"/>
      <c r="G27" s="159"/>
      <c r="H27" s="25"/>
      <c r="I27" s="159"/>
      <c r="J27" s="159"/>
      <c r="K27" s="25"/>
      <c r="M27" t="s">
        <v>23</v>
      </c>
      <c r="N27">
        <f>257+365</f>
        <v>622</v>
      </c>
      <c r="O27">
        <f>324+348</f>
        <v>672</v>
      </c>
      <c r="P27">
        <f t="shared" si="1"/>
        <v>1294</v>
      </c>
    </row>
    <row r="28" spans="1:11" ht="54" customHeight="1">
      <c r="A28" s="9">
        <v>5</v>
      </c>
      <c r="B28" s="5" t="s">
        <v>47</v>
      </c>
      <c r="C28" s="159">
        <v>0</v>
      </c>
      <c r="D28" s="159">
        <v>0</v>
      </c>
      <c r="E28" s="6">
        <v>0</v>
      </c>
      <c r="F28" s="159">
        <v>0</v>
      </c>
      <c r="G28" s="159">
        <v>0</v>
      </c>
      <c r="H28" s="6">
        <v>0</v>
      </c>
      <c r="I28" s="159">
        <v>0</v>
      </c>
      <c r="J28" s="159">
        <v>0</v>
      </c>
      <c r="K28" s="6">
        <v>0</v>
      </c>
    </row>
    <row r="29" spans="1:11" ht="57" customHeight="1">
      <c r="A29" s="9" t="s">
        <v>46</v>
      </c>
      <c r="B29" s="5" t="s">
        <v>48</v>
      </c>
      <c r="C29" s="159">
        <v>0</v>
      </c>
      <c r="D29" s="159">
        <v>0</v>
      </c>
      <c r="E29" s="6">
        <v>0</v>
      </c>
      <c r="F29" s="159">
        <v>0</v>
      </c>
      <c r="G29" s="159">
        <v>0</v>
      </c>
      <c r="H29" s="6">
        <v>0</v>
      </c>
      <c r="I29" s="159">
        <v>0</v>
      </c>
      <c r="J29" s="159">
        <v>0</v>
      </c>
      <c r="K29" s="6">
        <v>0</v>
      </c>
    </row>
  </sheetData>
  <sheetProtection/>
  <mergeCells count="10">
    <mergeCell ref="F4:H4"/>
    <mergeCell ref="F5:H5"/>
    <mergeCell ref="I4:K4"/>
    <mergeCell ref="I5:K5"/>
    <mergeCell ref="A1:E1"/>
    <mergeCell ref="C5:E5"/>
    <mergeCell ref="A2:E2"/>
    <mergeCell ref="C4:E4"/>
    <mergeCell ref="B4:B6"/>
    <mergeCell ref="A4:A6"/>
  </mergeCells>
  <printOptions/>
  <pageMargins left="0.7" right="0.7" top="0.75" bottom="0.75" header="0.3" footer="0.3"/>
  <pageSetup fitToHeight="1" fitToWidth="1" horizontalDpi="180" verticalDpi="18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8"/>
  <sheetViews>
    <sheetView zoomScalePageLayoutView="0" workbookViewId="0" topLeftCell="E40">
      <selection activeCell="H47" sqref="H47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1.57421875" style="0" customWidth="1"/>
    <col min="4" max="4" width="39.28125" style="0" customWidth="1"/>
    <col min="5" max="5" width="31.140625" style="0" customWidth="1"/>
    <col min="6" max="6" width="19.28125" style="0" customWidth="1"/>
    <col min="7" max="8" width="31.421875" style="0" customWidth="1"/>
  </cols>
  <sheetData>
    <row r="1" spans="1:8" s="162" customFormat="1" ht="32.25" customHeight="1">
      <c r="A1" s="773" t="s">
        <v>253</v>
      </c>
      <c r="B1" s="773"/>
      <c r="C1" s="773"/>
      <c r="D1" s="773"/>
      <c r="E1" s="773"/>
      <c r="F1" s="773"/>
      <c r="G1" s="773"/>
      <c r="H1" s="161"/>
    </row>
    <row r="2" spans="1:8" s="162" customFormat="1" ht="18.75">
      <c r="A2" s="774" t="s">
        <v>254</v>
      </c>
      <c r="B2" s="774"/>
      <c r="C2" s="774"/>
      <c r="D2" s="774"/>
      <c r="E2" s="774"/>
      <c r="F2" s="774"/>
      <c r="G2" s="774"/>
      <c r="H2" s="163"/>
    </row>
    <row r="3" spans="1:8" s="162" customFormat="1" ht="15.75">
      <c r="A3" s="164"/>
      <c r="B3" s="164"/>
      <c r="C3" s="164"/>
      <c r="D3" s="164"/>
      <c r="E3" s="164"/>
      <c r="F3" s="164"/>
      <c r="G3" s="164"/>
      <c r="H3" s="164"/>
    </row>
    <row r="4" spans="1:8" s="162" customFormat="1" ht="15.75">
      <c r="A4" s="760" t="s">
        <v>237</v>
      </c>
      <c r="B4" s="760" t="s">
        <v>255</v>
      </c>
      <c r="C4" s="760" t="s">
        <v>256</v>
      </c>
      <c r="D4" s="760"/>
      <c r="E4" s="770" t="s">
        <v>257</v>
      </c>
      <c r="F4" s="760" t="s">
        <v>258</v>
      </c>
      <c r="G4" s="760" t="s">
        <v>259</v>
      </c>
      <c r="H4" s="757" t="s">
        <v>260</v>
      </c>
    </row>
    <row r="5" spans="1:8" s="162" customFormat="1" ht="15.75">
      <c r="A5" s="760"/>
      <c r="B5" s="760"/>
      <c r="C5" s="760"/>
      <c r="D5" s="760"/>
      <c r="E5" s="770"/>
      <c r="F5" s="760"/>
      <c r="G5" s="760"/>
      <c r="H5" s="758"/>
    </row>
    <row r="6" spans="1:8" s="169" customFormat="1" ht="102.75" customHeight="1">
      <c r="A6" s="760"/>
      <c r="B6" s="760"/>
      <c r="C6" s="760"/>
      <c r="D6" s="760"/>
      <c r="E6" s="770"/>
      <c r="F6" s="760"/>
      <c r="G6" s="760"/>
      <c r="H6" s="759"/>
    </row>
    <row r="7" spans="1:8" s="169" customFormat="1" ht="19.5" customHeight="1">
      <c r="A7" s="165">
        <v>1</v>
      </c>
      <c r="B7" s="165">
        <v>2</v>
      </c>
      <c r="C7" s="165">
        <v>3</v>
      </c>
      <c r="D7" s="165">
        <v>4</v>
      </c>
      <c r="E7" s="166">
        <v>5</v>
      </c>
      <c r="F7" s="165">
        <v>6</v>
      </c>
      <c r="G7" s="165">
        <v>7</v>
      </c>
      <c r="H7" s="167">
        <v>8</v>
      </c>
    </row>
    <row r="8" spans="1:8" s="127" customFormat="1" ht="34.5" customHeight="1">
      <c r="A8" s="170">
        <v>1</v>
      </c>
      <c r="B8" s="171" t="s">
        <v>261</v>
      </c>
      <c r="C8" s="172" t="s">
        <v>149</v>
      </c>
      <c r="D8" s="173" t="s">
        <v>262</v>
      </c>
      <c r="E8" s="174" t="s">
        <v>263</v>
      </c>
      <c r="F8" s="175">
        <v>0.35</v>
      </c>
      <c r="G8" s="176">
        <v>18</v>
      </c>
      <c r="H8" s="177">
        <v>6</v>
      </c>
    </row>
    <row r="9" spans="1:8" s="127" customFormat="1" ht="34.5" customHeight="1">
      <c r="A9" s="170">
        <v>2</v>
      </c>
      <c r="B9" s="171" t="s">
        <v>264</v>
      </c>
      <c r="C9" s="172" t="s">
        <v>149</v>
      </c>
      <c r="D9" s="173" t="s">
        <v>265</v>
      </c>
      <c r="E9" s="174" t="s">
        <v>263</v>
      </c>
      <c r="F9" s="175">
        <v>6.166666666666667</v>
      </c>
      <c r="G9" s="176">
        <v>142</v>
      </c>
      <c r="H9" s="177">
        <v>53</v>
      </c>
    </row>
    <row r="10" spans="1:8" s="127" customFormat="1" ht="34.5" customHeight="1">
      <c r="A10" s="170">
        <v>3</v>
      </c>
      <c r="B10" s="171" t="s">
        <v>266</v>
      </c>
      <c r="C10" s="179" t="s">
        <v>149</v>
      </c>
      <c r="D10" s="180" t="s">
        <v>267</v>
      </c>
      <c r="E10" s="174" t="s">
        <v>263</v>
      </c>
      <c r="F10" s="175">
        <v>15.083333333333334</v>
      </c>
      <c r="G10" s="176">
        <v>4</v>
      </c>
      <c r="H10" s="181">
        <v>3</v>
      </c>
    </row>
    <row r="11" spans="1:8" s="127" customFormat="1" ht="34.5" customHeight="1">
      <c r="A11" s="170">
        <v>4</v>
      </c>
      <c r="B11" s="182" t="s">
        <v>268</v>
      </c>
      <c r="C11" s="172" t="s">
        <v>149</v>
      </c>
      <c r="D11" s="173" t="s">
        <v>265</v>
      </c>
      <c r="E11" s="183" t="s">
        <v>263</v>
      </c>
      <c r="F11" s="175">
        <v>23.166666666666668</v>
      </c>
      <c r="G11" s="176">
        <v>142</v>
      </c>
      <c r="H11" s="177">
        <v>53</v>
      </c>
    </row>
    <row r="12" spans="1:8" s="127" customFormat="1" ht="34.5" customHeight="1">
      <c r="A12" s="184">
        <v>5</v>
      </c>
      <c r="B12" s="182" t="s">
        <v>269</v>
      </c>
      <c r="C12" s="172" t="s">
        <v>149</v>
      </c>
      <c r="D12" s="173" t="s">
        <v>265</v>
      </c>
      <c r="E12" s="183" t="s">
        <v>263</v>
      </c>
      <c r="F12" s="175">
        <v>0.6666666666666666</v>
      </c>
      <c r="G12" s="176">
        <v>142</v>
      </c>
      <c r="H12" s="177">
        <v>53</v>
      </c>
    </row>
    <row r="13" spans="1:8" s="127" customFormat="1" ht="34.5" customHeight="1">
      <c r="A13" s="184">
        <v>6</v>
      </c>
      <c r="B13" s="182" t="s">
        <v>270</v>
      </c>
      <c r="C13" s="172" t="s">
        <v>149</v>
      </c>
      <c r="D13" s="173" t="s">
        <v>265</v>
      </c>
      <c r="E13" s="183" t="s">
        <v>263</v>
      </c>
      <c r="F13" s="175">
        <v>4</v>
      </c>
      <c r="G13" s="176">
        <v>142</v>
      </c>
      <c r="H13" s="177">
        <v>53</v>
      </c>
    </row>
    <row r="14" spans="1:8" s="127" customFormat="1" ht="34.5" customHeight="1">
      <c r="A14" s="184">
        <v>7</v>
      </c>
      <c r="B14" s="182" t="s">
        <v>271</v>
      </c>
      <c r="C14" s="172" t="s">
        <v>149</v>
      </c>
      <c r="D14" s="173" t="s">
        <v>265</v>
      </c>
      <c r="E14" s="183" t="s">
        <v>263</v>
      </c>
      <c r="F14" s="175">
        <v>0.75</v>
      </c>
      <c r="G14" s="176">
        <v>142</v>
      </c>
      <c r="H14" s="177">
        <v>53</v>
      </c>
    </row>
    <row r="15" spans="1:8" s="127" customFormat="1" ht="34.5" customHeight="1">
      <c r="A15" s="184">
        <v>8</v>
      </c>
      <c r="B15" s="182" t="s">
        <v>272</v>
      </c>
      <c r="C15" s="172" t="s">
        <v>149</v>
      </c>
      <c r="D15" s="173" t="s">
        <v>273</v>
      </c>
      <c r="E15" s="183" t="s">
        <v>263</v>
      </c>
      <c r="F15" s="185">
        <v>0.25</v>
      </c>
      <c r="G15" s="176">
        <v>158</v>
      </c>
      <c r="H15" s="177">
        <v>107</v>
      </c>
    </row>
    <row r="16" spans="1:8" s="127" customFormat="1" ht="34.5" customHeight="1">
      <c r="A16" s="184">
        <v>9</v>
      </c>
      <c r="B16" s="182" t="s">
        <v>274</v>
      </c>
      <c r="C16" s="172" t="s">
        <v>149</v>
      </c>
      <c r="D16" s="172" t="s">
        <v>275</v>
      </c>
      <c r="E16" s="186" t="s">
        <v>263</v>
      </c>
      <c r="F16" s="185">
        <v>0.6666666666666666</v>
      </c>
      <c r="G16" s="176">
        <v>17</v>
      </c>
      <c r="H16" s="177">
        <v>14</v>
      </c>
    </row>
    <row r="17" spans="1:8" s="127" customFormat="1" ht="34.5" customHeight="1">
      <c r="A17" s="184">
        <v>10</v>
      </c>
      <c r="B17" s="182" t="s">
        <v>276</v>
      </c>
      <c r="C17" s="172" t="s">
        <v>149</v>
      </c>
      <c r="D17" s="173" t="s">
        <v>277</v>
      </c>
      <c r="E17" s="183" t="s">
        <v>263</v>
      </c>
      <c r="F17" s="185">
        <v>1.3666666666666667</v>
      </c>
      <c r="G17" s="176">
        <v>142</v>
      </c>
      <c r="H17" s="177">
        <v>53</v>
      </c>
    </row>
    <row r="18" spans="1:8" s="127" customFormat="1" ht="34.5" customHeight="1">
      <c r="A18" s="184">
        <v>11</v>
      </c>
      <c r="B18" s="182" t="s">
        <v>278</v>
      </c>
      <c r="C18" s="172" t="s">
        <v>149</v>
      </c>
      <c r="D18" s="173" t="s">
        <v>279</v>
      </c>
      <c r="E18" s="183" t="s">
        <v>263</v>
      </c>
      <c r="F18" s="185">
        <v>0.5833333333333334</v>
      </c>
      <c r="G18" s="176">
        <v>2</v>
      </c>
      <c r="H18" s="177">
        <v>2</v>
      </c>
    </row>
    <row r="19" spans="1:8" s="127" customFormat="1" ht="34.5" customHeight="1">
      <c r="A19" s="184">
        <v>12</v>
      </c>
      <c r="B19" s="182" t="s">
        <v>280</v>
      </c>
      <c r="C19" s="172" t="s">
        <v>149</v>
      </c>
      <c r="D19" s="173" t="s">
        <v>277</v>
      </c>
      <c r="E19" s="183" t="s">
        <v>263</v>
      </c>
      <c r="F19" s="175">
        <v>0.4</v>
      </c>
      <c r="G19" s="176">
        <v>142</v>
      </c>
      <c r="H19" s="177">
        <v>53</v>
      </c>
    </row>
    <row r="20" spans="1:8" s="127" customFormat="1" ht="34.5" customHeight="1">
      <c r="A20" s="184">
        <v>13</v>
      </c>
      <c r="B20" s="182" t="s">
        <v>281</v>
      </c>
      <c r="C20" s="172" t="s">
        <v>149</v>
      </c>
      <c r="D20" s="173" t="s">
        <v>277</v>
      </c>
      <c r="E20" s="183" t="s">
        <v>263</v>
      </c>
      <c r="F20" s="175">
        <v>2</v>
      </c>
      <c r="G20" s="176">
        <v>142</v>
      </c>
      <c r="H20" s="177">
        <v>53</v>
      </c>
    </row>
    <row r="21" spans="1:8" s="127" customFormat="1" ht="34.5" customHeight="1">
      <c r="A21" s="184">
        <v>14</v>
      </c>
      <c r="B21" s="182" t="s">
        <v>282</v>
      </c>
      <c r="C21" s="172" t="s">
        <v>149</v>
      </c>
      <c r="D21" s="173" t="s">
        <v>277</v>
      </c>
      <c r="E21" s="183" t="s">
        <v>263</v>
      </c>
      <c r="F21" s="175">
        <v>1.6666666666666665</v>
      </c>
      <c r="G21" s="176">
        <v>142</v>
      </c>
      <c r="H21" s="177">
        <v>53</v>
      </c>
    </row>
    <row r="22" spans="1:8" s="127" customFormat="1" ht="34.5" customHeight="1">
      <c r="A22" s="184">
        <v>15</v>
      </c>
      <c r="B22" s="182" t="s">
        <v>283</v>
      </c>
      <c r="C22" s="172" t="s">
        <v>149</v>
      </c>
      <c r="D22" s="173" t="s">
        <v>284</v>
      </c>
      <c r="E22" s="183" t="s">
        <v>263</v>
      </c>
      <c r="F22" s="175">
        <v>2.3833333333333333</v>
      </c>
      <c r="G22" s="176">
        <v>158</v>
      </c>
      <c r="H22" s="177">
        <v>107</v>
      </c>
    </row>
    <row r="23" spans="1:8" s="127" customFormat="1" ht="34.5" customHeight="1">
      <c r="A23" s="184">
        <v>16</v>
      </c>
      <c r="B23" s="182" t="s">
        <v>283</v>
      </c>
      <c r="C23" s="172" t="s">
        <v>149</v>
      </c>
      <c r="D23" s="173" t="s">
        <v>285</v>
      </c>
      <c r="E23" s="183" t="s">
        <v>263</v>
      </c>
      <c r="F23" s="175">
        <v>0.3333333333333333</v>
      </c>
      <c r="G23" s="176">
        <v>1</v>
      </c>
      <c r="H23" s="177">
        <v>1</v>
      </c>
    </row>
    <row r="24" spans="1:8" s="127" customFormat="1" ht="34.5" customHeight="1">
      <c r="A24" s="184">
        <v>17</v>
      </c>
      <c r="B24" s="182" t="s">
        <v>286</v>
      </c>
      <c r="C24" s="172" t="s">
        <v>149</v>
      </c>
      <c r="D24" s="173" t="s">
        <v>287</v>
      </c>
      <c r="E24" s="183" t="s">
        <v>263</v>
      </c>
      <c r="F24" s="175">
        <v>0.5</v>
      </c>
      <c r="G24" s="176">
        <v>7</v>
      </c>
      <c r="H24" s="177">
        <v>2</v>
      </c>
    </row>
    <row r="25" spans="1:8" s="127" customFormat="1" ht="34.5" customHeight="1">
      <c r="A25" s="184">
        <v>18</v>
      </c>
      <c r="B25" s="182" t="s">
        <v>288</v>
      </c>
      <c r="C25" s="172" t="s">
        <v>149</v>
      </c>
      <c r="D25" s="173" t="s">
        <v>289</v>
      </c>
      <c r="E25" s="183" t="s">
        <v>263</v>
      </c>
      <c r="F25" s="175">
        <v>1.3333333333333333</v>
      </c>
      <c r="G25" s="176">
        <v>105</v>
      </c>
      <c r="H25" s="177">
        <v>13</v>
      </c>
    </row>
    <row r="26" spans="1:8" s="127" customFormat="1" ht="34.5" customHeight="1">
      <c r="A26" s="184">
        <v>19</v>
      </c>
      <c r="B26" s="182" t="s">
        <v>288</v>
      </c>
      <c r="C26" s="172" t="s">
        <v>149</v>
      </c>
      <c r="D26" s="173" t="s">
        <v>277</v>
      </c>
      <c r="E26" s="183" t="s">
        <v>263</v>
      </c>
      <c r="F26" s="175">
        <v>0.75</v>
      </c>
      <c r="G26" s="176">
        <v>142</v>
      </c>
      <c r="H26" s="177">
        <v>53</v>
      </c>
    </row>
    <row r="27" spans="1:8" s="127" customFormat="1" ht="34.5" customHeight="1">
      <c r="A27" s="184">
        <v>20</v>
      </c>
      <c r="B27" s="182" t="s">
        <v>290</v>
      </c>
      <c r="C27" s="172" t="s">
        <v>149</v>
      </c>
      <c r="D27" s="172" t="s">
        <v>291</v>
      </c>
      <c r="E27" s="183" t="s">
        <v>263</v>
      </c>
      <c r="F27" s="175">
        <v>0.85</v>
      </c>
      <c r="G27" s="176">
        <v>9</v>
      </c>
      <c r="H27" s="177">
        <v>3</v>
      </c>
    </row>
    <row r="28" spans="1:8" s="127" customFormat="1" ht="34.5" customHeight="1">
      <c r="A28" s="184">
        <v>21</v>
      </c>
      <c r="B28" s="182" t="s">
        <v>292</v>
      </c>
      <c r="C28" s="172" t="s">
        <v>149</v>
      </c>
      <c r="D28" s="172" t="s">
        <v>293</v>
      </c>
      <c r="E28" s="183" t="s">
        <v>263</v>
      </c>
      <c r="F28" s="175">
        <v>1</v>
      </c>
      <c r="G28" s="176">
        <v>32</v>
      </c>
      <c r="H28" s="177">
        <v>25</v>
      </c>
    </row>
    <row r="29" spans="1:8" s="127" customFormat="1" ht="34.5" customHeight="1">
      <c r="A29" s="184">
        <v>22</v>
      </c>
      <c r="B29" s="187" t="s">
        <v>294</v>
      </c>
      <c r="C29" s="172" t="s">
        <v>149</v>
      </c>
      <c r="D29" s="172" t="s">
        <v>295</v>
      </c>
      <c r="E29" s="183" t="s">
        <v>263</v>
      </c>
      <c r="F29" s="175">
        <v>0.4166666666666667</v>
      </c>
      <c r="G29" s="176">
        <v>6</v>
      </c>
      <c r="H29" s="177">
        <v>6</v>
      </c>
    </row>
    <row r="30" spans="1:8" s="127" customFormat="1" ht="34.5" customHeight="1">
      <c r="A30" s="184">
        <v>23</v>
      </c>
      <c r="B30" s="187" t="s">
        <v>296</v>
      </c>
      <c r="C30" s="172" t="s">
        <v>149</v>
      </c>
      <c r="D30" s="173" t="s">
        <v>297</v>
      </c>
      <c r="E30" s="183" t="s">
        <v>263</v>
      </c>
      <c r="F30" s="175">
        <v>1</v>
      </c>
      <c r="G30" s="176">
        <v>30</v>
      </c>
      <c r="H30" s="177">
        <v>30</v>
      </c>
    </row>
    <row r="31" spans="1:8" s="127" customFormat="1" ht="34.5" customHeight="1">
      <c r="A31" s="184">
        <v>24</v>
      </c>
      <c r="B31" s="187" t="s">
        <v>298</v>
      </c>
      <c r="C31" s="179" t="s">
        <v>149</v>
      </c>
      <c r="D31" s="179" t="s">
        <v>299</v>
      </c>
      <c r="E31" s="183" t="s">
        <v>263</v>
      </c>
      <c r="F31" s="175">
        <v>7.833333333333333</v>
      </c>
      <c r="G31" s="176">
        <v>1</v>
      </c>
      <c r="H31" s="181">
        <v>1</v>
      </c>
    </row>
    <row r="32" spans="1:8" s="127" customFormat="1" ht="34.5" customHeight="1">
      <c r="A32" s="184">
        <v>25</v>
      </c>
      <c r="B32" s="187" t="s">
        <v>300</v>
      </c>
      <c r="C32" s="172" t="s">
        <v>149</v>
      </c>
      <c r="D32" s="172" t="s">
        <v>301</v>
      </c>
      <c r="E32" s="176" t="s">
        <v>263</v>
      </c>
      <c r="F32" s="175">
        <v>0.3333333333333333</v>
      </c>
      <c r="G32" s="176">
        <v>46</v>
      </c>
      <c r="H32" s="177">
        <v>46</v>
      </c>
    </row>
    <row r="33" spans="1:8" s="127" customFormat="1" ht="34.5" customHeight="1">
      <c r="A33" s="188">
        <f>A32+1</f>
        <v>26</v>
      </c>
      <c r="B33" s="189" t="s">
        <v>302</v>
      </c>
      <c r="C33" s="190" t="s">
        <v>236</v>
      </c>
      <c r="D33" s="190" t="s">
        <v>303</v>
      </c>
      <c r="E33" s="191" t="s">
        <v>263</v>
      </c>
      <c r="F33" s="192">
        <v>0.72</v>
      </c>
      <c r="G33" s="193">
        <v>6</v>
      </c>
      <c r="H33" s="194">
        <v>6</v>
      </c>
    </row>
    <row r="34" spans="1:8" s="127" customFormat="1" ht="34.5" customHeight="1">
      <c r="A34" s="170">
        <f aca="true" t="shared" si="0" ref="A34:A43">A33+1</f>
        <v>27</v>
      </c>
      <c r="B34" s="171" t="s">
        <v>304</v>
      </c>
      <c r="C34" s="172" t="s">
        <v>236</v>
      </c>
      <c r="D34" s="172" t="s">
        <v>305</v>
      </c>
      <c r="E34" s="174" t="s">
        <v>263</v>
      </c>
      <c r="F34" s="175">
        <v>0.6</v>
      </c>
      <c r="G34" s="176">
        <v>155</v>
      </c>
      <c r="H34" s="177">
        <v>155</v>
      </c>
    </row>
    <row r="35" spans="1:8" s="127" customFormat="1" ht="34.5" customHeight="1">
      <c r="A35" s="170">
        <f t="shared" si="0"/>
        <v>28</v>
      </c>
      <c r="B35" s="171" t="s">
        <v>306</v>
      </c>
      <c r="C35" s="172" t="s">
        <v>236</v>
      </c>
      <c r="D35" s="172" t="s">
        <v>307</v>
      </c>
      <c r="E35" s="174" t="s">
        <v>263</v>
      </c>
      <c r="F35" s="175">
        <v>3</v>
      </c>
      <c r="G35" s="176">
        <v>30</v>
      </c>
      <c r="H35" s="177">
        <v>30</v>
      </c>
    </row>
    <row r="36" spans="1:8" s="127" customFormat="1" ht="34.5" customHeight="1">
      <c r="A36" s="170">
        <f t="shared" si="0"/>
        <v>29</v>
      </c>
      <c r="B36" s="182" t="s">
        <v>308</v>
      </c>
      <c r="C36" s="172" t="s">
        <v>236</v>
      </c>
      <c r="D36" s="173" t="s">
        <v>309</v>
      </c>
      <c r="E36" s="183" t="s">
        <v>263</v>
      </c>
      <c r="F36" s="175">
        <v>2</v>
      </c>
      <c r="G36" s="176">
        <v>4</v>
      </c>
      <c r="H36" s="177">
        <v>4</v>
      </c>
    </row>
    <row r="37" spans="1:8" s="127" customFormat="1" ht="34.5" customHeight="1">
      <c r="A37" s="170">
        <f t="shared" si="0"/>
        <v>30</v>
      </c>
      <c r="B37" s="182" t="s">
        <v>310</v>
      </c>
      <c r="C37" s="172" t="s">
        <v>236</v>
      </c>
      <c r="D37" s="173" t="s">
        <v>311</v>
      </c>
      <c r="E37" s="183" t="s">
        <v>263</v>
      </c>
      <c r="F37" s="175">
        <v>21</v>
      </c>
      <c r="G37" s="176">
        <v>1</v>
      </c>
      <c r="H37" s="177">
        <v>1</v>
      </c>
    </row>
    <row r="38" spans="1:8" s="127" customFormat="1" ht="34.5" customHeight="1">
      <c r="A38" s="170">
        <f t="shared" si="0"/>
        <v>31</v>
      </c>
      <c r="B38" s="182" t="s">
        <v>312</v>
      </c>
      <c r="C38" s="172" t="s">
        <v>236</v>
      </c>
      <c r="D38" s="173" t="s">
        <v>313</v>
      </c>
      <c r="E38" s="183" t="s">
        <v>263</v>
      </c>
      <c r="F38" s="195">
        <v>5</v>
      </c>
      <c r="G38" s="176">
        <v>4</v>
      </c>
      <c r="H38" s="177">
        <v>4</v>
      </c>
    </row>
    <row r="39" spans="1:8" s="127" customFormat="1" ht="34.5" customHeight="1">
      <c r="A39" s="170">
        <f t="shared" si="0"/>
        <v>32</v>
      </c>
      <c r="B39" s="182" t="s">
        <v>292</v>
      </c>
      <c r="C39" s="172" t="s">
        <v>236</v>
      </c>
      <c r="D39" s="173" t="s">
        <v>314</v>
      </c>
      <c r="E39" s="183" t="s">
        <v>263</v>
      </c>
      <c r="F39" s="195">
        <v>3</v>
      </c>
      <c r="G39" s="176">
        <v>8</v>
      </c>
      <c r="H39" s="177">
        <v>8</v>
      </c>
    </row>
    <row r="40" spans="1:8" s="127" customFormat="1" ht="34.5" customHeight="1">
      <c r="A40" s="170">
        <f t="shared" si="0"/>
        <v>33</v>
      </c>
      <c r="B40" s="182" t="s">
        <v>292</v>
      </c>
      <c r="C40" s="172" t="s">
        <v>236</v>
      </c>
      <c r="D40" s="173" t="s">
        <v>315</v>
      </c>
      <c r="E40" s="183" t="s">
        <v>263</v>
      </c>
      <c r="F40" s="195">
        <v>1</v>
      </c>
      <c r="G40" s="176">
        <v>22</v>
      </c>
      <c r="H40" s="177">
        <v>22</v>
      </c>
    </row>
    <row r="41" spans="1:8" s="127" customFormat="1" ht="34.5" customHeight="1">
      <c r="A41" s="170">
        <f t="shared" si="0"/>
        <v>34</v>
      </c>
      <c r="B41" s="182" t="s">
        <v>292</v>
      </c>
      <c r="C41" s="172" t="s">
        <v>236</v>
      </c>
      <c r="D41" s="173" t="s">
        <v>316</v>
      </c>
      <c r="E41" s="186" t="s">
        <v>263</v>
      </c>
      <c r="F41" s="195">
        <v>1.2</v>
      </c>
      <c r="G41" s="176">
        <v>39</v>
      </c>
      <c r="H41" s="177">
        <v>39</v>
      </c>
    </row>
    <row r="42" spans="1:8" s="127" customFormat="1" ht="34.5" customHeight="1">
      <c r="A42" s="170">
        <f t="shared" si="0"/>
        <v>35</v>
      </c>
      <c r="B42" s="182" t="s">
        <v>292</v>
      </c>
      <c r="C42" s="172" t="s">
        <v>236</v>
      </c>
      <c r="D42" s="173" t="s">
        <v>317</v>
      </c>
      <c r="E42" s="183" t="s">
        <v>263</v>
      </c>
      <c r="F42" s="195">
        <v>1.4</v>
      </c>
      <c r="G42" s="176">
        <v>16</v>
      </c>
      <c r="H42" s="177">
        <v>16</v>
      </c>
    </row>
    <row r="43" spans="1:8" s="127" customFormat="1" ht="34.5" customHeight="1">
      <c r="A43" s="170">
        <f t="shared" si="0"/>
        <v>36</v>
      </c>
      <c r="B43" s="187" t="s">
        <v>318</v>
      </c>
      <c r="C43" s="172" t="s">
        <v>236</v>
      </c>
      <c r="D43" s="173" t="s">
        <v>319</v>
      </c>
      <c r="E43" s="176" t="s">
        <v>263</v>
      </c>
      <c r="F43" s="196">
        <v>2</v>
      </c>
      <c r="G43" s="176">
        <v>4</v>
      </c>
      <c r="H43" s="177">
        <v>4</v>
      </c>
    </row>
    <row r="44" spans="1:8" s="127" customFormat="1" ht="34.5" customHeight="1">
      <c r="A44" s="197"/>
      <c r="B44" s="198"/>
      <c r="C44" s="199"/>
      <c r="D44" s="200" t="s">
        <v>229</v>
      </c>
      <c r="E44" s="201"/>
      <c r="F44" s="202">
        <f>SUM(F8:F43)</f>
        <v>114.77</v>
      </c>
      <c r="G44" s="202">
        <f>SUM(G8:G43)</f>
        <v>2303</v>
      </c>
      <c r="H44" s="202">
        <f>SUM(H8:H43)</f>
        <v>1185</v>
      </c>
    </row>
    <row r="45" spans="1:8" s="127" customFormat="1" ht="34.5" customHeight="1">
      <c r="A45" s="184"/>
      <c r="B45" s="187"/>
      <c r="C45" s="172" t="s">
        <v>320</v>
      </c>
      <c r="D45" s="172"/>
      <c r="E45" s="176"/>
      <c r="F45" s="175"/>
      <c r="G45" s="177"/>
      <c r="H45" s="178"/>
    </row>
    <row r="46" spans="1:8" s="127" customFormat="1" ht="34.5" customHeight="1">
      <c r="A46" s="184"/>
      <c r="B46" s="187"/>
      <c r="C46" s="172" t="s">
        <v>149</v>
      </c>
      <c r="D46" s="172"/>
      <c r="E46" s="176"/>
      <c r="F46" s="175">
        <f>SUM(F8:F32)</f>
        <v>73.85</v>
      </c>
      <c r="G46" s="175">
        <f>SUM(G8:G32)</f>
        <v>2014</v>
      </c>
      <c r="H46" s="175">
        <f>SUM(H8:H32)</f>
        <v>896</v>
      </c>
    </row>
    <row r="47" spans="1:8" s="127" customFormat="1" ht="34.5" customHeight="1">
      <c r="A47" s="184"/>
      <c r="B47" s="187"/>
      <c r="C47" s="172" t="s">
        <v>236</v>
      </c>
      <c r="D47" s="172"/>
      <c r="E47" s="176"/>
      <c r="F47" s="175">
        <f>SUM(F33:F43)</f>
        <v>40.92</v>
      </c>
      <c r="G47" s="175">
        <f>SUM(G33:G43)</f>
        <v>289</v>
      </c>
      <c r="H47" s="175">
        <f>SUM(H33:H43)</f>
        <v>289</v>
      </c>
    </row>
    <row r="48" spans="1:8" s="127" customFormat="1" ht="34.5" customHeight="1">
      <c r="A48" s="203"/>
      <c r="B48" s="204"/>
      <c r="C48" s="205"/>
      <c r="D48" s="205"/>
      <c r="E48" s="206"/>
      <c r="F48" s="207"/>
      <c r="G48" s="208"/>
      <c r="H48" s="208"/>
    </row>
    <row r="49" spans="1:8" s="127" customFormat="1" ht="34.5" customHeight="1">
      <c r="A49" s="772"/>
      <c r="B49" s="772"/>
      <c r="C49" s="772"/>
      <c r="D49" s="772"/>
      <c r="E49" s="772"/>
      <c r="F49" s="207"/>
      <c r="G49" s="209"/>
      <c r="H49" s="208"/>
    </row>
    <row r="50" spans="1:8" s="127" customFormat="1" ht="34.5" customHeight="1">
      <c r="A50" s="771"/>
      <c r="B50" s="771"/>
      <c r="C50" s="771"/>
      <c r="D50" s="771"/>
      <c r="E50" s="771"/>
      <c r="F50" s="207"/>
      <c r="G50" s="208"/>
      <c r="H50" s="208"/>
    </row>
    <row r="51" spans="1:8" s="127" customFormat="1" ht="34.5" customHeight="1">
      <c r="A51" s="203"/>
      <c r="B51" s="204"/>
      <c r="C51" s="205"/>
      <c r="D51" s="205"/>
      <c r="E51" s="206"/>
      <c r="F51" s="207"/>
      <c r="G51" s="208"/>
      <c r="H51" s="208"/>
    </row>
    <row r="52" spans="1:8" s="127" customFormat="1" ht="34.5" customHeight="1">
      <c r="A52" s="203"/>
      <c r="B52" s="204"/>
      <c r="C52" s="205"/>
      <c r="D52" s="205"/>
      <c r="E52" s="206"/>
      <c r="F52" s="207"/>
      <c r="G52" s="208"/>
      <c r="H52" s="208"/>
    </row>
    <row r="53" spans="1:8" s="127" customFormat="1" ht="34.5" customHeight="1">
      <c r="A53" s="203"/>
      <c r="B53" s="204"/>
      <c r="C53" s="205"/>
      <c r="D53" s="205"/>
      <c r="E53" s="206"/>
      <c r="F53" s="207"/>
      <c r="G53" s="208"/>
      <c r="H53" s="208"/>
    </row>
    <row r="54" spans="1:8" s="127" customFormat="1" ht="34.5" customHeight="1">
      <c r="A54" s="203"/>
      <c r="B54" s="204"/>
      <c r="C54" s="205"/>
      <c r="D54" s="205"/>
      <c r="E54" s="206"/>
      <c r="F54" s="207"/>
      <c r="G54" s="208"/>
      <c r="H54" s="208"/>
    </row>
    <row r="55" spans="1:8" s="127" customFormat="1" ht="34.5" customHeight="1">
      <c r="A55" s="203"/>
      <c r="B55" s="204"/>
      <c r="C55" s="205"/>
      <c r="D55" s="205"/>
      <c r="E55" s="206"/>
      <c r="F55" s="207"/>
      <c r="G55" s="208"/>
      <c r="H55" s="208"/>
    </row>
    <row r="56" spans="1:8" s="127" customFormat="1" ht="34.5" customHeight="1">
      <c r="A56" s="203"/>
      <c r="B56" s="204"/>
      <c r="C56" s="205"/>
      <c r="D56" s="205"/>
      <c r="E56" s="206"/>
      <c r="F56" s="207"/>
      <c r="G56" s="208"/>
      <c r="H56" s="208"/>
    </row>
    <row r="57" spans="1:8" s="127" customFormat="1" ht="34.5" customHeight="1">
      <c r="A57" s="203"/>
      <c r="B57" s="204"/>
      <c r="C57" s="205"/>
      <c r="D57" s="205"/>
      <c r="E57" s="206"/>
      <c r="F57" s="207"/>
      <c r="G57" s="208"/>
      <c r="H57" s="208"/>
    </row>
    <row r="58" spans="1:8" s="127" customFormat="1" ht="34.5" customHeight="1">
      <c r="A58" s="203"/>
      <c r="B58" s="204"/>
      <c r="C58" s="205"/>
      <c r="D58" s="205"/>
      <c r="E58" s="206"/>
      <c r="F58" s="207"/>
      <c r="G58" s="208"/>
      <c r="H58" s="208"/>
    </row>
    <row r="59" spans="1:8" s="127" customFormat="1" ht="34.5" customHeight="1">
      <c r="A59" s="203"/>
      <c r="B59" s="204"/>
      <c r="C59" s="205"/>
      <c r="D59" s="205"/>
      <c r="E59" s="206"/>
      <c r="F59" s="207"/>
      <c r="G59" s="208"/>
      <c r="H59" s="208"/>
    </row>
    <row r="60" spans="1:8" s="127" customFormat="1" ht="34.5" customHeight="1">
      <c r="A60" s="203"/>
      <c r="B60" s="204"/>
      <c r="C60" s="205"/>
      <c r="D60" s="205"/>
      <c r="E60" s="206"/>
      <c r="F60" s="207"/>
      <c r="G60" s="208"/>
      <c r="H60" s="208"/>
    </row>
    <row r="61" spans="1:8" s="127" customFormat="1" ht="34.5" customHeight="1">
      <c r="A61" s="203"/>
      <c r="B61" s="204"/>
      <c r="C61" s="205"/>
      <c r="D61" s="205"/>
      <c r="E61" s="206"/>
      <c r="F61" s="207"/>
      <c r="G61" s="208"/>
      <c r="H61" s="208"/>
    </row>
    <row r="62" spans="1:8" s="127" customFormat="1" ht="34.5" customHeight="1">
      <c r="A62" s="203"/>
      <c r="B62" s="204"/>
      <c r="C62" s="205"/>
      <c r="D62" s="205"/>
      <c r="E62" s="206"/>
      <c r="F62" s="207"/>
      <c r="G62" s="208"/>
      <c r="H62" s="208"/>
    </row>
    <row r="63" spans="1:8" s="127" customFormat="1" ht="34.5" customHeight="1">
      <c r="A63" s="203"/>
      <c r="B63" s="204"/>
      <c r="C63" s="205"/>
      <c r="D63" s="205"/>
      <c r="E63" s="206"/>
      <c r="F63" s="207"/>
      <c r="G63" s="208"/>
      <c r="H63" s="208"/>
    </row>
    <row r="64" spans="1:8" s="127" customFormat="1" ht="34.5" customHeight="1">
      <c r="A64" s="203"/>
      <c r="B64" s="204"/>
      <c r="C64" s="205"/>
      <c r="D64" s="205"/>
      <c r="E64" s="206"/>
      <c r="F64" s="207"/>
      <c r="G64" s="208"/>
      <c r="H64" s="208"/>
    </row>
    <row r="65" spans="1:8" s="127" customFormat="1" ht="34.5" customHeight="1">
      <c r="A65" s="203"/>
      <c r="B65" s="204"/>
      <c r="C65" s="205"/>
      <c r="D65" s="205"/>
      <c r="E65" s="206"/>
      <c r="F65" s="207"/>
      <c r="G65" s="208"/>
      <c r="H65" s="208"/>
    </row>
    <row r="66" spans="1:8" s="127" customFormat="1" ht="34.5" customHeight="1">
      <c r="A66" s="203"/>
      <c r="B66" s="204"/>
      <c r="C66" s="205"/>
      <c r="D66" s="205"/>
      <c r="E66" s="206"/>
      <c r="F66" s="207"/>
      <c r="G66" s="208"/>
      <c r="H66" s="208"/>
    </row>
    <row r="67" spans="1:8" s="127" customFormat="1" ht="34.5" customHeight="1">
      <c r="A67" s="203"/>
      <c r="B67" s="204"/>
      <c r="C67" s="205"/>
      <c r="D67" s="205"/>
      <c r="E67" s="206"/>
      <c r="F67" s="207"/>
      <c r="G67" s="208"/>
      <c r="H67" s="208"/>
    </row>
    <row r="68" spans="1:8" s="127" customFormat="1" ht="34.5" customHeight="1">
      <c r="A68" s="203"/>
      <c r="B68" s="204"/>
      <c r="C68" s="205"/>
      <c r="D68" s="205"/>
      <c r="E68" s="206"/>
      <c r="F68" s="207"/>
      <c r="G68" s="208"/>
      <c r="H68" s="208"/>
    </row>
    <row r="69" spans="1:8" s="127" customFormat="1" ht="34.5" customHeight="1">
      <c r="A69" s="203"/>
      <c r="B69" s="204"/>
      <c r="C69" s="205"/>
      <c r="D69" s="205"/>
      <c r="E69" s="206"/>
      <c r="F69" s="207"/>
      <c r="G69" s="208"/>
      <c r="H69" s="208"/>
    </row>
    <row r="70" spans="1:8" s="127" customFormat="1" ht="34.5" customHeight="1">
      <c r="A70" s="203"/>
      <c r="B70" s="204"/>
      <c r="C70" s="205"/>
      <c r="D70" s="205"/>
      <c r="E70" s="206"/>
      <c r="F70" s="207"/>
      <c r="G70" s="208"/>
      <c r="H70" s="208"/>
    </row>
    <row r="71" spans="1:8" s="127" customFormat="1" ht="34.5" customHeight="1">
      <c r="A71" s="203"/>
      <c r="B71" s="204"/>
      <c r="C71" s="205"/>
      <c r="D71" s="205"/>
      <c r="E71" s="206"/>
      <c r="F71" s="207"/>
      <c r="G71" s="208"/>
      <c r="H71" s="208"/>
    </row>
    <row r="72" spans="1:8" s="127" customFormat="1" ht="34.5" customHeight="1">
      <c r="A72" s="203"/>
      <c r="B72" s="204"/>
      <c r="C72" s="205"/>
      <c r="D72" s="205"/>
      <c r="E72" s="206"/>
      <c r="F72" s="207"/>
      <c r="G72" s="208"/>
      <c r="H72" s="208"/>
    </row>
    <row r="73" spans="1:8" s="127" customFormat="1" ht="34.5" customHeight="1">
      <c r="A73" s="203"/>
      <c r="B73" s="204"/>
      <c r="C73" s="205"/>
      <c r="D73" s="205"/>
      <c r="E73" s="206"/>
      <c r="F73" s="207"/>
      <c r="G73" s="208"/>
      <c r="H73" s="208"/>
    </row>
    <row r="74" spans="1:8" s="127" customFormat="1" ht="34.5" customHeight="1">
      <c r="A74" s="203"/>
      <c r="B74" s="204"/>
      <c r="C74" s="205"/>
      <c r="D74" s="205"/>
      <c r="E74" s="206"/>
      <c r="F74" s="207"/>
      <c r="G74" s="208"/>
      <c r="H74" s="208"/>
    </row>
    <row r="75" spans="1:8" s="127" customFormat="1" ht="34.5" customHeight="1">
      <c r="A75" s="203"/>
      <c r="B75" s="204"/>
      <c r="C75" s="205"/>
      <c r="D75" s="205"/>
      <c r="E75" s="206"/>
      <c r="F75" s="207"/>
      <c r="G75" s="208"/>
      <c r="H75" s="208"/>
    </row>
    <row r="76" spans="1:8" s="127" customFormat="1" ht="34.5" customHeight="1">
      <c r="A76" s="203"/>
      <c r="B76" s="204"/>
      <c r="C76" s="205"/>
      <c r="D76" s="205"/>
      <c r="E76" s="206"/>
      <c r="F76" s="207"/>
      <c r="G76" s="208"/>
      <c r="H76" s="208"/>
    </row>
    <row r="77" spans="1:8" s="127" customFormat="1" ht="34.5" customHeight="1">
      <c r="A77" s="203"/>
      <c r="B77" s="204"/>
      <c r="C77" s="205"/>
      <c r="D77" s="205"/>
      <c r="E77" s="206"/>
      <c r="F77" s="207"/>
      <c r="G77" s="208"/>
      <c r="H77" s="208"/>
    </row>
    <row r="78" spans="1:8" s="127" customFormat="1" ht="34.5" customHeight="1">
      <c r="A78" s="203"/>
      <c r="B78" s="204"/>
      <c r="C78" s="205"/>
      <c r="D78" s="205"/>
      <c r="E78" s="206"/>
      <c r="F78" s="207"/>
      <c r="G78" s="208"/>
      <c r="H78" s="208"/>
    </row>
    <row r="79" spans="1:8" s="127" customFormat="1" ht="34.5" customHeight="1">
      <c r="A79" s="203"/>
      <c r="B79" s="204"/>
      <c r="C79" s="205"/>
      <c r="D79" s="205"/>
      <c r="E79" s="206"/>
      <c r="F79" s="207"/>
      <c r="G79" s="208"/>
      <c r="H79" s="208"/>
    </row>
    <row r="80" spans="1:8" s="127" customFormat="1" ht="34.5" customHeight="1">
      <c r="A80" s="203"/>
      <c r="B80" s="204"/>
      <c r="C80" s="205"/>
      <c r="D80" s="205"/>
      <c r="E80" s="206"/>
      <c r="F80" s="207"/>
      <c r="G80" s="208"/>
      <c r="H80" s="208"/>
    </row>
    <row r="81" spans="1:8" s="127" customFormat="1" ht="34.5" customHeight="1">
      <c r="A81" s="203"/>
      <c r="B81" s="204"/>
      <c r="C81" s="205"/>
      <c r="D81" s="205"/>
      <c r="E81" s="206"/>
      <c r="F81" s="207"/>
      <c r="G81" s="208"/>
      <c r="H81" s="208"/>
    </row>
    <row r="82" spans="1:8" s="127" customFormat="1" ht="34.5" customHeight="1">
      <c r="A82" s="203"/>
      <c r="B82" s="204"/>
      <c r="C82" s="205"/>
      <c r="D82" s="205"/>
      <c r="E82" s="206"/>
      <c r="F82" s="207"/>
      <c r="G82" s="208"/>
      <c r="H82" s="208"/>
    </row>
    <row r="83" spans="1:8" s="127" customFormat="1" ht="34.5" customHeight="1">
      <c r="A83" s="203"/>
      <c r="B83" s="204"/>
      <c r="C83" s="205"/>
      <c r="D83" s="205"/>
      <c r="E83" s="206"/>
      <c r="F83" s="207"/>
      <c r="G83" s="208"/>
      <c r="H83" s="208"/>
    </row>
    <row r="84" spans="1:8" s="127" customFormat="1" ht="34.5" customHeight="1">
      <c r="A84" s="203"/>
      <c r="B84" s="204"/>
      <c r="C84" s="205"/>
      <c r="D84" s="205"/>
      <c r="E84" s="206"/>
      <c r="F84" s="207"/>
      <c r="G84" s="208"/>
      <c r="H84" s="208"/>
    </row>
    <row r="85" spans="1:8" s="127" customFormat="1" ht="34.5" customHeight="1">
      <c r="A85" s="203"/>
      <c r="B85" s="204"/>
      <c r="C85" s="205"/>
      <c r="D85" s="205"/>
      <c r="E85" s="206"/>
      <c r="F85" s="207"/>
      <c r="G85" s="208"/>
      <c r="H85" s="208"/>
    </row>
    <row r="86" spans="1:8" s="127" customFormat="1" ht="34.5" customHeight="1">
      <c r="A86" s="203"/>
      <c r="B86" s="204"/>
      <c r="C86" s="205"/>
      <c r="D86" s="205"/>
      <c r="E86" s="206"/>
      <c r="F86" s="207"/>
      <c r="G86" s="208"/>
      <c r="H86" s="208"/>
    </row>
    <row r="87" spans="1:8" s="127" customFormat="1" ht="34.5" customHeight="1">
      <c r="A87" s="203"/>
      <c r="B87" s="204"/>
      <c r="C87" s="205"/>
      <c r="D87" s="205"/>
      <c r="E87" s="206"/>
      <c r="F87" s="207"/>
      <c r="G87" s="208"/>
      <c r="H87" s="208"/>
    </row>
    <row r="88" spans="1:8" s="127" customFormat="1" ht="34.5" customHeight="1">
      <c r="A88" s="203"/>
      <c r="B88" s="204"/>
      <c r="C88" s="205"/>
      <c r="D88" s="205"/>
      <c r="E88" s="206"/>
      <c r="F88" s="207"/>
      <c r="G88" s="208"/>
      <c r="H88" s="208"/>
    </row>
    <row r="89" spans="1:8" s="127" customFormat="1" ht="34.5" customHeight="1">
      <c r="A89" s="203"/>
      <c r="B89" s="204"/>
      <c r="C89" s="205"/>
      <c r="D89" s="205"/>
      <c r="E89" s="206"/>
      <c r="F89" s="207"/>
      <c r="G89" s="208"/>
      <c r="H89" s="208"/>
    </row>
    <row r="90" spans="1:8" s="127" customFormat="1" ht="34.5" customHeight="1">
      <c r="A90" s="203"/>
      <c r="B90" s="204"/>
      <c r="C90" s="205"/>
      <c r="D90" s="205"/>
      <c r="E90" s="206"/>
      <c r="F90" s="207"/>
      <c r="G90" s="208"/>
      <c r="H90" s="208"/>
    </row>
    <row r="91" spans="1:8" s="127" customFormat="1" ht="34.5" customHeight="1">
      <c r="A91" s="203"/>
      <c r="B91" s="204"/>
      <c r="C91" s="205"/>
      <c r="D91" s="205"/>
      <c r="E91" s="206"/>
      <c r="F91" s="207"/>
      <c r="G91" s="208"/>
      <c r="H91" s="208"/>
    </row>
    <row r="92" spans="1:8" s="127" customFormat="1" ht="34.5" customHeight="1">
      <c r="A92" s="203"/>
      <c r="B92" s="204"/>
      <c r="C92" s="205"/>
      <c r="D92" s="205"/>
      <c r="E92" s="206"/>
      <c r="F92" s="207"/>
      <c r="G92" s="208"/>
      <c r="H92" s="208"/>
    </row>
    <row r="93" spans="1:8" s="127" customFormat="1" ht="34.5" customHeight="1">
      <c r="A93" s="203"/>
      <c r="B93" s="204"/>
      <c r="C93" s="205"/>
      <c r="D93" s="205"/>
      <c r="E93" s="206"/>
      <c r="F93" s="207"/>
      <c r="G93" s="208"/>
      <c r="H93" s="208"/>
    </row>
    <row r="94" spans="1:8" s="127" customFormat="1" ht="34.5" customHeight="1">
      <c r="A94" s="203"/>
      <c r="B94" s="204"/>
      <c r="C94" s="205"/>
      <c r="D94" s="205"/>
      <c r="E94" s="206"/>
      <c r="F94" s="207"/>
      <c r="G94" s="208"/>
      <c r="H94" s="208"/>
    </row>
    <row r="95" spans="1:8" s="127" customFormat="1" ht="34.5" customHeight="1">
      <c r="A95" s="203"/>
      <c r="B95" s="204"/>
      <c r="C95" s="205"/>
      <c r="D95" s="205"/>
      <c r="E95" s="206"/>
      <c r="F95" s="207"/>
      <c r="G95" s="208"/>
      <c r="H95" s="208"/>
    </row>
    <row r="96" spans="1:8" s="127" customFormat="1" ht="34.5" customHeight="1">
      <c r="A96" s="203"/>
      <c r="B96" s="204"/>
      <c r="C96" s="205"/>
      <c r="D96" s="205"/>
      <c r="E96" s="206"/>
      <c r="F96" s="207"/>
      <c r="G96" s="208"/>
      <c r="H96" s="208"/>
    </row>
    <row r="97" spans="1:8" s="127" customFormat="1" ht="34.5" customHeight="1">
      <c r="A97" s="203"/>
      <c r="B97" s="204"/>
      <c r="C97" s="205"/>
      <c r="D97" s="205"/>
      <c r="E97" s="206"/>
      <c r="F97" s="207"/>
      <c r="G97" s="208"/>
      <c r="H97" s="208"/>
    </row>
    <row r="98" spans="1:8" s="127" customFormat="1" ht="34.5" customHeight="1">
      <c r="A98" s="203"/>
      <c r="B98" s="204"/>
      <c r="C98" s="205"/>
      <c r="D98" s="205"/>
      <c r="E98" s="206"/>
      <c r="F98" s="207"/>
      <c r="G98" s="208"/>
      <c r="H98" s="208"/>
    </row>
    <row r="99" spans="1:8" s="127" customFormat="1" ht="34.5" customHeight="1">
      <c r="A99" s="203"/>
      <c r="B99" s="204"/>
      <c r="C99" s="205"/>
      <c r="D99" s="205"/>
      <c r="E99" s="206"/>
      <c r="F99" s="207"/>
      <c r="G99" s="208"/>
      <c r="H99" s="208"/>
    </row>
    <row r="100" spans="1:8" s="127" customFormat="1" ht="34.5" customHeight="1">
      <c r="A100" s="203"/>
      <c r="B100" s="204"/>
      <c r="C100" s="205"/>
      <c r="D100" s="205"/>
      <c r="E100" s="206"/>
      <c r="F100" s="207"/>
      <c r="G100" s="208"/>
      <c r="H100" s="208"/>
    </row>
    <row r="101" spans="1:8" s="127" customFormat="1" ht="34.5" customHeight="1">
      <c r="A101" s="203"/>
      <c r="B101" s="204"/>
      <c r="C101" s="205"/>
      <c r="D101" s="205"/>
      <c r="E101" s="206"/>
      <c r="F101" s="207"/>
      <c r="G101" s="208"/>
      <c r="H101" s="208"/>
    </row>
    <row r="102" spans="1:8" s="127" customFormat="1" ht="34.5" customHeight="1">
      <c r="A102" s="203"/>
      <c r="B102" s="204"/>
      <c r="C102" s="205"/>
      <c r="D102" s="205"/>
      <c r="E102" s="206"/>
      <c r="F102" s="207"/>
      <c r="G102" s="208"/>
      <c r="H102" s="208"/>
    </row>
    <row r="103" spans="1:8" s="127" customFormat="1" ht="34.5" customHeight="1">
      <c r="A103" s="203"/>
      <c r="B103" s="204"/>
      <c r="C103" s="205"/>
      <c r="D103" s="205"/>
      <c r="E103" s="206"/>
      <c r="F103" s="207"/>
      <c r="G103" s="208"/>
      <c r="H103" s="208"/>
    </row>
    <row r="104" spans="1:8" s="127" customFormat="1" ht="34.5" customHeight="1">
      <c r="A104" s="203"/>
      <c r="B104" s="204"/>
      <c r="C104" s="205"/>
      <c r="D104" s="205"/>
      <c r="E104" s="206"/>
      <c r="F104" s="207"/>
      <c r="G104" s="208"/>
      <c r="H104" s="208"/>
    </row>
    <row r="105" spans="1:8" s="127" customFormat="1" ht="34.5" customHeight="1">
      <c r="A105" s="203"/>
      <c r="B105" s="204"/>
      <c r="C105" s="205"/>
      <c r="D105" s="205"/>
      <c r="E105" s="206"/>
      <c r="F105" s="207"/>
      <c r="G105" s="208"/>
      <c r="H105" s="208"/>
    </row>
    <row r="106" spans="1:8" s="127" customFormat="1" ht="34.5" customHeight="1">
      <c r="A106" s="203"/>
      <c r="B106" s="204"/>
      <c r="C106" s="205"/>
      <c r="D106" s="205"/>
      <c r="E106" s="206"/>
      <c r="F106" s="207"/>
      <c r="G106" s="208"/>
      <c r="H106" s="208"/>
    </row>
    <row r="107" spans="1:8" s="127" customFormat="1" ht="34.5" customHeight="1">
      <c r="A107" s="203"/>
      <c r="B107" s="204"/>
      <c r="C107" s="205"/>
      <c r="D107" s="205"/>
      <c r="E107" s="206"/>
      <c r="F107" s="207"/>
      <c r="G107" s="208"/>
      <c r="H107" s="208"/>
    </row>
    <row r="108" spans="1:8" s="127" customFormat="1" ht="34.5" customHeight="1">
      <c r="A108" s="203"/>
      <c r="B108" s="204"/>
      <c r="C108" s="205"/>
      <c r="D108" s="205"/>
      <c r="E108" s="206"/>
      <c r="F108" s="207"/>
      <c r="G108" s="208"/>
      <c r="H108" s="208"/>
    </row>
    <row r="109" spans="1:8" s="127" customFormat="1" ht="34.5" customHeight="1">
      <c r="A109" s="203"/>
      <c r="B109" s="204"/>
      <c r="C109" s="205"/>
      <c r="D109" s="205"/>
      <c r="E109" s="206"/>
      <c r="F109" s="207"/>
      <c r="G109" s="208"/>
      <c r="H109" s="208"/>
    </row>
    <row r="110" spans="1:8" s="127" customFormat="1" ht="34.5" customHeight="1">
      <c r="A110" s="203"/>
      <c r="B110" s="204"/>
      <c r="C110" s="205"/>
      <c r="D110" s="205"/>
      <c r="E110" s="206"/>
      <c r="F110" s="207"/>
      <c r="G110" s="208"/>
      <c r="H110" s="208"/>
    </row>
    <row r="111" spans="1:8" s="127" customFormat="1" ht="34.5" customHeight="1">
      <c r="A111" s="203"/>
      <c r="B111" s="204"/>
      <c r="C111" s="205"/>
      <c r="D111" s="205"/>
      <c r="E111" s="206"/>
      <c r="F111" s="207"/>
      <c r="G111" s="208"/>
      <c r="H111" s="208"/>
    </row>
    <row r="112" spans="1:8" s="127" customFormat="1" ht="34.5" customHeight="1">
      <c r="A112" s="203"/>
      <c r="B112" s="204"/>
      <c r="C112" s="205"/>
      <c r="D112" s="205"/>
      <c r="E112" s="206"/>
      <c r="F112" s="207"/>
      <c r="G112" s="208"/>
      <c r="H112" s="208"/>
    </row>
    <row r="113" spans="1:8" s="127" customFormat="1" ht="34.5" customHeight="1">
      <c r="A113" s="203"/>
      <c r="B113" s="204"/>
      <c r="C113" s="205"/>
      <c r="D113" s="205"/>
      <c r="E113" s="206"/>
      <c r="F113" s="207"/>
      <c r="G113" s="208"/>
      <c r="H113" s="208"/>
    </row>
    <row r="114" spans="1:8" s="127" customFormat="1" ht="34.5" customHeight="1">
      <c r="A114" s="203"/>
      <c r="B114" s="204"/>
      <c r="C114" s="205"/>
      <c r="D114" s="205"/>
      <c r="E114" s="206"/>
      <c r="F114" s="207"/>
      <c r="G114" s="208"/>
      <c r="H114" s="208"/>
    </row>
    <row r="115" spans="1:8" s="127" customFormat="1" ht="34.5" customHeight="1">
      <c r="A115" s="203"/>
      <c r="B115" s="204"/>
      <c r="C115" s="205"/>
      <c r="D115" s="205"/>
      <c r="E115" s="206"/>
      <c r="F115" s="207"/>
      <c r="G115" s="208"/>
      <c r="H115" s="208"/>
    </row>
    <row r="116" spans="1:8" s="127" customFormat="1" ht="34.5" customHeight="1">
      <c r="A116" s="203"/>
      <c r="B116" s="204"/>
      <c r="C116" s="205"/>
      <c r="D116" s="205"/>
      <c r="E116" s="206"/>
      <c r="F116" s="207"/>
      <c r="G116" s="208"/>
      <c r="H116" s="208"/>
    </row>
    <row r="117" spans="1:8" s="127" customFormat="1" ht="34.5" customHeight="1">
      <c r="A117" s="203"/>
      <c r="B117" s="204"/>
      <c r="C117" s="205"/>
      <c r="D117" s="205"/>
      <c r="E117" s="206"/>
      <c r="F117" s="207"/>
      <c r="G117" s="208"/>
      <c r="H117" s="208"/>
    </row>
    <row r="118" spans="1:8" s="127" customFormat="1" ht="34.5" customHeight="1">
      <c r="A118" s="203"/>
      <c r="B118" s="204"/>
      <c r="C118" s="205"/>
      <c r="D118" s="205"/>
      <c r="E118" s="206"/>
      <c r="F118" s="207"/>
      <c r="G118" s="208"/>
      <c r="H118" s="208"/>
    </row>
    <row r="119" spans="1:8" s="127" customFormat="1" ht="34.5" customHeight="1">
      <c r="A119" s="203"/>
      <c r="B119" s="204"/>
      <c r="C119" s="205"/>
      <c r="D119" s="205"/>
      <c r="E119" s="206"/>
      <c r="F119" s="207"/>
      <c r="G119" s="208"/>
      <c r="H119" s="208"/>
    </row>
    <row r="120" spans="1:8" s="127" customFormat="1" ht="34.5" customHeight="1">
      <c r="A120" s="203"/>
      <c r="B120" s="204"/>
      <c r="C120" s="205"/>
      <c r="D120" s="205"/>
      <c r="E120" s="206"/>
      <c r="F120" s="207"/>
      <c r="G120" s="208"/>
      <c r="H120" s="208"/>
    </row>
    <row r="121" spans="1:8" s="127" customFormat="1" ht="34.5" customHeight="1">
      <c r="A121" s="203"/>
      <c r="B121" s="204"/>
      <c r="C121" s="205"/>
      <c r="D121" s="205"/>
      <c r="E121" s="206"/>
      <c r="F121" s="207"/>
      <c r="G121" s="208"/>
      <c r="H121" s="208"/>
    </row>
    <row r="122" spans="1:8" s="127" customFormat="1" ht="34.5" customHeight="1">
      <c r="A122" s="203"/>
      <c r="B122" s="204"/>
      <c r="C122" s="205"/>
      <c r="D122" s="205"/>
      <c r="E122" s="206"/>
      <c r="F122" s="207"/>
      <c r="G122" s="208"/>
      <c r="H122" s="208"/>
    </row>
    <row r="123" s="127" customFormat="1" ht="19.5" customHeight="1"/>
    <row r="124" spans="1:8" s="127" customFormat="1" ht="15.75">
      <c r="A124" s="210" t="s">
        <v>321</v>
      </c>
      <c r="B124" s="210"/>
      <c r="C124" s="210"/>
      <c r="D124" s="169"/>
      <c r="E124" s="169"/>
      <c r="F124" s="169"/>
      <c r="G124" s="169"/>
      <c r="H124" s="169"/>
    </row>
    <row r="125" spans="1:8" s="127" customFormat="1" ht="15">
      <c r="A125" s="211" t="s">
        <v>322</v>
      </c>
      <c r="B125" s="211"/>
      <c r="C125" s="211"/>
      <c r="D125" s="169"/>
      <c r="E125" s="169"/>
      <c r="F125" s="169"/>
      <c r="G125" s="169"/>
      <c r="H125" s="169"/>
    </row>
    <row r="126" spans="1:8" s="127" customFormat="1" ht="15">
      <c r="A126" s="169"/>
      <c r="B126" s="169"/>
      <c r="C126" s="169"/>
      <c r="D126" s="169"/>
      <c r="E126" s="169"/>
      <c r="F126" s="169"/>
      <c r="G126" s="169"/>
      <c r="H126" s="169"/>
    </row>
    <row r="127" spans="1:8" s="127" customFormat="1" ht="15">
      <c r="A127" s="169"/>
      <c r="B127" s="169"/>
      <c r="C127" s="169"/>
      <c r="D127" s="169"/>
      <c r="E127" s="169"/>
      <c r="F127" s="169"/>
      <c r="G127" s="169"/>
      <c r="H127" s="169"/>
    </row>
    <row r="128" spans="1:8" s="127" customFormat="1" ht="15">
      <c r="A128" s="169"/>
      <c r="B128" s="169"/>
      <c r="C128" s="169"/>
      <c r="D128" s="169"/>
      <c r="E128" s="169"/>
      <c r="F128" s="169"/>
      <c r="G128" s="169"/>
      <c r="H128" s="169"/>
    </row>
    <row r="129" s="127" customFormat="1" ht="15"/>
  </sheetData>
  <sheetProtection/>
  <mergeCells count="11">
    <mergeCell ref="A1:G1"/>
    <mergeCell ref="A2:G2"/>
    <mergeCell ref="A4:A6"/>
    <mergeCell ref="B4:B6"/>
    <mergeCell ref="C4:D6"/>
    <mergeCell ref="E4:E6"/>
    <mergeCell ref="F4:F6"/>
    <mergeCell ref="G4:G6"/>
    <mergeCell ref="H4:H6"/>
    <mergeCell ref="A50:E50"/>
    <mergeCell ref="A49:E49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7"/>
  <sheetViews>
    <sheetView zoomScalePageLayoutView="0" workbookViewId="0" topLeftCell="D32">
      <selection activeCell="H45" sqref="H45"/>
    </sheetView>
  </sheetViews>
  <sheetFormatPr defaultColWidth="9.140625" defaultRowHeight="15"/>
  <cols>
    <col min="1" max="1" width="5.7109375" style="0" customWidth="1"/>
    <col min="2" max="2" width="17.00390625" style="0" customWidth="1"/>
    <col min="3" max="3" width="43.28125" style="0" customWidth="1"/>
    <col min="4" max="5" width="26.57421875" style="0" customWidth="1"/>
    <col min="6" max="6" width="19.28125" style="0" customWidth="1"/>
    <col min="7" max="7" width="22.7109375" style="0" customWidth="1"/>
    <col min="8" max="8" width="24.140625" style="0" customWidth="1"/>
  </cols>
  <sheetData>
    <row r="1" spans="1:8" s="162" customFormat="1" ht="32.25" customHeight="1">
      <c r="A1" s="773" t="s">
        <v>253</v>
      </c>
      <c r="B1" s="773"/>
      <c r="C1" s="773"/>
      <c r="D1" s="773"/>
      <c r="E1" s="773"/>
      <c r="F1" s="773"/>
      <c r="G1" s="773"/>
      <c r="H1" s="161"/>
    </row>
    <row r="2" spans="1:8" s="162" customFormat="1" ht="18.75">
      <c r="A2" s="774" t="s">
        <v>323</v>
      </c>
      <c r="B2" s="774"/>
      <c r="C2" s="774"/>
      <c r="D2" s="774"/>
      <c r="E2" s="774"/>
      <c r="F2" s="774"/>
      <c r="G2" s="774"/>
      <c r="H2" s="163"/>
    </row>
    <row r="3" spans="1:8" s="162" customFormat="1" ht="15.75">
      <c r="A3" s="164"/>
      <c r="B3" s="164"/>
      <c r="C3" s="164"/>
      <c r="D3" s="164"/>
      <c r="E3" s="164"/>
      <c r="F3" s="164"/>
      <c r="G3" s="164"/>
      <c r="H3" s="164"/>
    </row>
    <row r="4" spans="1:8" s="162" customFormat="1" ht="15.75">
      <c r="A4" s="760" t="s">
        <v>237</v>
      </c>
      <c r="B4" s="760" t="s">
        <v>255</v>
      </c>
      <c r="C4" s="760" t="s">
        <v>256</v>
      </c>
      <c r="D4" s="760"/>
      <c r="E4" s="770" t="s">
        <v>257</v>
      </c>
      <c r="F4" s="760" t="s">
        <v>258</v>
      </c>
      <c r="G4" s="760" t="s">
        <v>259</v>
      </c>
      <c r="H4" s="757" t="s">
        <v>260</v>
      </c>
    </row>
    <row r="5" spans="1:8" s="162" customFormat="1" ht="15.75">
      <c r="A5" s="760"/>
      <c r="B5" s="760"/>
      <c r="C5" s="760"/>
      <c r="D5" s="760"/>
      <c r="E5" s="770"/>
      <c r="F5" s="760"/>
      <c r="G5" s="760"/>
      <c r="H5" s="758"/>
    </row>
    <row r="6" spans="1:8" s="169" customFormat="1" ht="146.25" customHeight="1">
      <c r="A6" s="760"/>
      <c r="B6" s="760"/>
      <c r="C6" s="760"/>
      <c r="D6" s="760"/>
      <c r="E6" s="770"/>
      <c r="F6" s="760"/>
      <c r="G6" s="760"/>
      <c r="H6" s="759"/>
    </row>
    <row r="7" spans="1:8" s="169" customFormat="1" ht="15.75" customHeight="1">
      <c r="A7" s="165">
        <v>1</v>
      </c>
      <c r="B7" s="165">
        <v>2</v>
      </c>
      <c r="C7" s="165">
        <v>3</v>
      </c>
      <c r="D7" s="165">
        <v>4</v>
      </c>
      <c r="E7" s="166">
        <v>5</v>
      </c>
      <c r="F7" s="165">
        <v>6</v>
      </c>
      <c r="G7" s="165">
        <v>7</v>
      </c>
      <c r="H7" s="167">
        <v>8</v>
      </c>
    </row>
    <row r="8" spans="1:8" s="127" customFormat="1" ht="34.5" customHeight="1">
      <c r="A8" s="215">
        <v>1</v>
      </c>
      <c r="B8" s="216" t="s">
        <v>353</v>
      </c>
      <c r="C8" s="217" t="s">
        <v>324</v>
      </c>
      <c r="D8" s="217" t="s">
        <v>325</v>
      </c>
      <c r="E8" s="218" t="s">
        <v>263</v>
      </c>
      <c r="F8" s="219">
        <v>0.9166</v>
      </c>
      <c r="G8" s="218">
        <v>30</v>
      </c>
      <c r="H8" s="218">
        <v>30</v>
      </c>
    </row>
    <row r="9" spans="1:8" s="127" customFormat="1" ht="34.5" customHeight="1">
      <c r="A9" s="215">
        <v>2</v>
      </c>
      <c r="B9" s="216" t="s">
        <v>354</v>
      </c>
      <c r="C9" s="217" t="s">
        <v>324</v>
      </c>
      <c r="D9" s="217" t="s">
        <v>291</v>
      </c>
      <c r="E9" s="218" t="s">
        <v>263</v>
      </c>
      <c r="F9" s="219">
        <v>6</v>
      </c>
      <c r="G9" s="218">
        <v>76</v>
      </c>
      <c r="H9" s="218">
        <v>47</v>
      </c>
    </row>
    <row r="10" spans="1:8" s="127" customFormat="1" ht="34.5" customHeight="1">
      <c r="A10" s="215">
        <v>3</v>
      </c>
      <c r="B10" s="216" t="s">
        <v>355</v>
      </c>
      <c r="C10" s="217" t="s">
        <v>324</v>
      </c>
      <c r="D10" s="217" t="s">
        <v>275</v>
      </c>
      <c r="E10" s="218" t="s">
        <v>263</v>
      </c>
      <c r="F10" s="219">
        <v>0.9166</v>
      </c>
      <c r="G10" s="218">
        <v>28</v>
      </c>
      <c r="H10" s="218">
        <v>20</v>
      </c>
    </row>
    <row r="11" spans="1:8" s="127" customFormat="1" ht="34.5" customHeight="1">
      <c r="A11" s="220">
        <v>4</v>
      </c>
      <c r="B11" s="221" t="s">
        <v>310</v>
      </c>
      <c r="C11" s="217" t="s">
        <v>324</v>
      </c>
      <c r="D11" s="222" t="s">
        <v>326</v>
      </c>
      <c r="E11" s="213" t="s">
        <v>263</v>
      </c>
      <c r="F11" s="223">
        <v>1.4166</v>
      </c>
      <c r="G11" s="213">
        <v>9</v>
      </c>
      <c r="H11" s="213">
        <v>6</v>
      </c>
    </row>
    <row r="12" spans="1:8" s="127" customFormat="1" ht="34.5" customHeight="1">
      <c r="A12" s="220">
        <v>5</v>
      </c>
      <c r="B12" s="221" t="s">
        <v>310</v>
      </c>
      <c r="C12" s="217" t="s">
        <v>324</v>
      </c>
      <c r="D12" s="222" t="s">
        <v>327</v>
      </c>
      <c r="E12" s="213" t="s">
        <v>263</v>
      </c>
      <c r="F12" s="223">
        <v>5.916666666666667</v>
      </c>
      <c r="G12" s="213">
        <v>12</v>
      </c>
      <c r="H12" s="213">
        <v>12</v>
      </c>
    </row>
    <row r="13" spans="1:8" s="127" customFormat="1" ht="34.5" customHeight="1">
      <c r="A13" s="220">
        <v>6</v>
      </c>
      <c r="B13" s="221" t="s">
        <v>355</v>
      </c>
      <c r="C13" s="217" t="s">
        <v>324</v>
      </c>
      <c r="D13" s="222" t="s">
        <v>328</v>
      </c>
      <c r="E13" s="213" t="s">
        <v>263</v>
      </c>
      <c r="F13" s="223">
        <v>21.5</v>
      </c>
      <c r="G13" s="213">
        <v>1</v>
      </c>
      <c r="H13" s="213">
        <v>1</v>
      </c>
    </row>
    <row r="14" spans="1:8" s="127" customFormat="1" ht="34.5" customHeight="1">
      <c r="A14" s="220">
        <v>7</v>
      </c>
      <c r="B14" s="221" t="s">
        <v>310</v>
      </c>
      <c r="C14" s="217" t="s">
        <v>324</v>
      </c>
      <c r="D14" s="222" t="s">
        <v>329</v>
      </c>
      <c r="E14" s="213" t="s">
        <v>263</v>
      </c>
      <c r="F14" s="223">
        <v>41.1666</v>
      </c>
      <c r="G14" s="213">
        <v>1</v>
      </c>
      <c r="H14" s="213">
        <v>1</v>
      </c>
    </row>
    <row r="15" spans="1:8" s="127" customFormat="1" ht="34.5" customHeight="1">
      <c r="A15" s="220">
        <v>8</v>
      </c>
      <c r="B15" s="221" t="s">
        <v>310</v>
      </c>
      <c r="C15" s="217" t="s">
        <v>324</v>
      </c>
      <c r="D15" s="222" t="s">
        <v>330</v>
      </c>
      <c r="E15" s="213" t="s">
        <v>263</v>
      </c>
      <c r="F15" s="223">
        <v>0.4166</v>
      </c>
      <c r="G15" s="213">
        <v>3</v>
      </c>
      <c r="H15" s="213">
        <v>3</v>
      </c>
    </row>
    <row r="16" spans="1:8" s="127" customFormat="1" ht="34.5" customHeight="1">
      <c r="A16" s="220">
        <v>9</v>
      </c>
      <c r="B16" s="221" t="s">
        <v>356</v>
      </c>
      <c r="C16" s="217" t="s">
        <v>324</v>
      </c>
      <c r="D16" s="222" t="s">
        <v>331</v>
      </c>
      <c r="E16" s="224" t="s">
        <v>263</v>
      </c>
      <c r="F16" s="223">
        <v>0.5</v>
      </c>
      <c r="G16" s="213">
        <v>57</v>
      </c>
      <c r="H16" s="213">
        <v>42</v>
      </c>
    </row>
    <row r="17" spans="1:8" s="127" customFormat="1" ht="34.5" customHeight="1">
      <c r="A17" s="220">
        <v>10</v>
      </c>
      <c r="B17" s="221" t="s">
        <v>357</v>
      </c>
      <c r="C17" s="217" t="s">
        <v>324</v>
      </c>
      <c r="D17" s="222" t="s">
        <v>332</v>
      </c>
      <c r="E17" s="213" t="s">
        <v>263</v>
      </c>
      <c r="F17" s="223">
        <v>0.0833</v>
      </c>
      <c r="G17" s="213">
        <v>91</v>
      </c>
      <c r="H17" s="213">
        <v>54</v>
      </c>
    </row>
    <row r="18" spans="1:8" s="127" customFormat="1" ht="34.5" customHeight="1">
      <c r="A18" s="220">
        <v>11</v>
      </c>
      <c r="B18" s="221" t="s">
        <v>358</v>
      </c>
      <c r="C18" s="217" t="s">
        <v>324</v>
      </c>
      <c r="D18" s="222" t="s">
        <v>333</v>
      </c>
      <c r="E18" s="213" t="s">
        <v>263</v>
      </c>
      <c r="F18" s="223">
        <v>5.3333</v>
      </c>
      <c r="G18" s="213">
        <v>2</v>
      </c>
      <c r="H18" s="213">
        <v>2</v>
      </c>
    </row>
    <row r="19" spans="1:8" s="127" customFormat="1" ht="34.5" customHeight="1">
      <c r="A19" s="220">
        <v>12</v>
      </c>
      <c r="B19" s="221" t="s">
        <v>359</v>
      </c>
      <c r="C19" s="217" t="s">
        <v>324</v>
      </c>
      <c r="D19" s="222" t="s">
        <v>334</v>
      </c>
      <c r="E19" s="213" t="s">
        <v>263</v>
      </c>
      <c r="F19" s="223">
        <v>0.8333</v>
      </c>
      <c r="G19" s="213">
        <v>1</v>
      </c>
      <c r="H19" s="213">
        <v>1</v>
      </c>
    </row>
    <row r="20" spans="1:8" s="127" customFormat="1" ht="34.5" customHeight="1">
      <c r="A20" s="220">
        <v>13</v>
      </c>
      <c r="B20" s="221" t="s">
        <v>360</v>
      </c>
      <c r="C20" s="217" t="s">
        <v>324</v>
      </c>
      <c r="D20" s="222" t="s">
        <v>335</v>
      </c>
      <c r="E20" s="213" t="s">
        <v>263</v>
      </c>
      <c r="F20" s="223">
        <v>1.6666</v>
      </c>
      <c r="G20" s="213">
        <v>38</v>
      </c>
      <c r="H20" s="213">
        <v>33</v>
      </c>
    </row>
    <row r="21" spans="1:8" s="127" customFormat="1" ht="34.5" customHeight="1">
      <c r="A21" s="220">
        <v>14</v>
      </c>
      <c r="B21" s="221" t="s">
        <v>361</v>
      </c>
      <c r="C21" s="217" t="s">
        <v>324</v>
      </c>
      <c r="D21" s="222" t="s">
        <v>289</v>
      </c>
      <c r="E21" s="213" t="s">
        <v>263</v>
      </c>
      <c r="F21" s="223">
        <v>1.6666</v>
      </c>
      <c r="G21" s="213">
        <v>12</v>
      </c>
      <c r="H21" s="213">
        <v>12</v>
      </c>
    </row>
    <row r="22" spans="1:8" s="127" customFormat="1" ht="34.5" customHeight="1">
      <c r="A22" s="220">
        <v>15</v>
      </c>
      <c r="B22" s="221" t="s">
        <v>362</v>
      </c>
      <c r="C22" s="217" t="s">
        <v>324</v>
      </c>
      <c r="D22" s="222" t="s">
        <v>336</v>
      </c>
      <c r="E22" s="213" t="s">
        <v>263</v>
      </c>
      <c r="F22" s="223">
        <v>5.3333</v>
      </c>
      <c r="G22" s="213">
        <v>79</v>
      </c>
      <c r="H22" s="213">
        <v>53</v>
      </c>
    </row>
    <row r="23" spans="1:8" s="127" customFormat="1" ht="34.5" customHeight="1">
      <c r="A23" s="220">
        <v>16</v>
      </c>
      <c r="B23" s="221" t="s">
        <v>363</v>
      </c>
      <c r="C23" s="217" t="s">
        <v>324</v>
      </c>
      <c r="D23" s="222" t="s">
        <v>337</v>
      </c>
      <c r="E23" s="213" t="s">
        <v>263</v>
      </c>
      <c r="F23" s="223">
        <v>0.6333</v>
      </c>
      <c r="G23" s="213">
        <v>91</v>
      </c>
      <c r="H23" s="213">
        <v>54</v>
      </c>
    </row>
    <row r="24" spans="1:8" s="127" customFormat="1" ht="34.5" customHeight="1">
      <c r="A24" s="220">
        <v>17</v>
      </c>
      <c r="B24" s="221" t="s">
        <v>364</v>
      </c>
      <c r="C24" s="217" t="s">
        <v>324</v>
      </c>
      <c r="D24" s="222" t="s">
        <v>338</v>
      </c>
      <c r="E24" s="213" t="s">
        <v>263</v>
      </c>
      <c r="F24" s="223">
        <v>0.2</v>
      </c>
      <c r="G24" s="213">
        <v>91</v>
      </c>
      <c r="H24" s="213">
        <v>54</v>
      </c>
    </row>
    <row r="25" spans="1:8" s="127" customFormat="1" ht="34.5" customHeight="1">
      <c r="A25" s="220">
        <v>18</v>
      </c>
      <c r="B25" s="221" t="s">
        <v>365</v>
      </c>
      <c r="C25" s="217" t="s">
        <v>324</v>
      </c>
      <c r="D25" s="222" t="s">
        <v>339</v>
      </c>
      <c r="E25" s="213" t="s">
        <v>263</v>
      </c>
      <c r="F25" s="223">
        <v>0.1666</v>
      </c>
      <c r="G25" s="213">
        <v>51</v>
      </c>
      <c r="H25" s="213">
        <v>44</v>
      </c>
    </row>
    <row r="26" spans="1:8" s="127" customFormat="1" ht="34.5" customHeight="1">
      <c r="A26" s="220">
        <v>19</v>
      </c>
      <c r="B26" s="221" t="s">
        <v>365</v>
      </c>
      <c r="C26" s="217" t="s">
        <v>324</v>
      </c>
      <c r="D26" s="222" t="s">
        <v>340</v>
      </c>
      <c r="E26" s="213" t="s">
        <v>263</v>
      </c>
      <c r="F26" s="223">
        <v>0.1666</v>
      </c>
      <c r="G26" s="213">
        <v>51</v>
      </c>
      <c r="H26" s="213">
        <v>44</v>
      </c>
    </row>
    <row r="27" spans="1:8" s="127" customFormat="1" ht="34.5" customHeight="1">
      <c r="A27" s="220">
        <v>20</v>
      </c>
      <c r="B27" s="221" t="s">
        <v>366</v>
      </c>
      <c r="C27" s="217" t="s">
        <v>324</v>
      </c>
      <c r="D27" s="222" t="s">
        <v>341</v>
      </c>
      <c r="E27" s="213" t="s">
        <v>263</v>
      </c>
      <c r="F27" s="223">
        <v>0.1833</v>
      </c>
      <c r="G27" s="213">
        <v>91</v>
      </c>
      <c r="H27" s="213">
        <v>54</v>
      </c>
    </row>
    <row r="28" spans="1:8" s="127" customFormat="1" ht="34.5" customHeight="1">
      <c r="A28" s="220">
        <v>21</v>
      </c>
      <c r="B28" s="221" t="s">
        <v>367</v>
      </c>
      <c r="C28" s="217" t="s">
        <v>324</v>
      </c>
      <c r="D28" s="222" t="s">
        <v>342</v>
      </c>
      <c r="E28" s="213" t="s">
        <v>263</v>
      </c>
      <c r="F28" s="223">
        <v>12.5</v>
      </c>
      <c r="G28" s="213">
        <v>1</v>
      </c>
      <c r="H28" s="213">
        <v>1</v>
      </c>
    </row>
    <row r="29" spans="1:8" s="127" customFormat="1" ht="34.5" customHeight="1">
      <c r="A29" s="220">
        <v>22</v>
      </c>
      <c r="B29" s="221" t="s">
        <v>368</v>
      </c>
      <c r="C29" s="217" t="s">
        <v>324</v>
      </c>
      <c r="D29" s="222" t="s">
        <v>277</v>
      </c>
      <c r="E29" s="213" t="s">
        <v>263</v>
      </c>
      <c r="F29" s="223">
        <v>7.5833</v>
      </c>
      <c r="G29" s="213">
        <v>141</v>
      </c>
      <c r="H29" s="213">
        <v>50</v>
      </c>
    </row>
    <row r="30" spans="1:8" s="127" customFormat="1" ht="34.5" customHeight="1">
      <c r="A30" s="220">
        <v>23</v>
      </c>
      <c r="B30" s="225" t="s">
        <v>369</v>
      </c>
      <c r="C30" s="217" t="s">
        <v>343</v>
      </c>
      <c r="D30" s="222" t="s">
        <v>344</v>
      </c>
      <c r="E30" s="214" t="s">
        <v>381</v>
      </c>
      <c r="F30" s="226">
        <v>0.4</v>
      </c>
      <c r="G30" s="214">
        <v>4</v>
      </c>
      <c r="H30" s="214">
        <v>1</v>
      </c>
    </row>
    <row r="31" spans="1:8" s="127" customFormat="1" ht="34.5" customHeight="1">
      <c r="A31" s="220">
        <v>24</v>
      </c>
      <c r="B31" s="225" t="s">
        <v>370</v>
      </c>
      <c r="C31" s="217" t="s">
        <v>343</v>
      </c>
      <c r="D31" s="222" t="s">
        <v>345</v>
      </c>
      <c r="E31" s="214" t="s">
        <v>381</v>
      </c>
      <c r="F31" s="226">
        <v>1.5</v>
      </c>
      <c r="G31" s="214">
        <v>1</v>
      </c>
      <c r="H31" s="214">
        <v>1</v>
      </c>
    </row>
    <row r="32" spans="1:8" s="127" customFormat="1" ht="34.5" customHeight="1">
      <c r="A32" s="220">
        <v>25</v>
      </c>
      <c r="B32" s="225" t="s">
        <v>371</v>
      </c>
      <c r="C32" s="217" t="s">
        <v>343</v>
      </c>
      <c r="D32" s="222" t="s">
        <v>346</v>
      </c>
      <c r="E32" s="214" t="s">
        <v>381</v>
      </c>
      <c r="F32" s="226">
        <v>4.25</v>
      </c>
      <c r="G32" s="214">
        <v>30</v>
      </c>
      <c r="H32" s="214">
        <v>30</v>
      </c>
    </row>
    <row r="33" spans="1:8" s="127" customFormat="1" ht="34.5" customHeight="1">
      <c r="A33" s="220">
        <v>26</v>
      </c>
      <c r="B33" s="225" t="s">
        <v>372</v>
      </c>
      <c r="C33" s="217" t="s">
        <v>343</v>
      </c>
      <c r="D33" s="222" t="s">
        <v>347</v>
      </c>
      <c r="E33" s="214" t="s">
        <v>381</v>
      </c>
      <c r="F33" s="226">
        <v>0.5</v>
      </c>
      <c r="G33" s="214">
        <v>4</v>
      </c>
      <c r="H33" s="214">
        <v>4</v>
      </c>
    </row>
    <row r="34" spans="1:8" s="127" customFormat="1" ht="34.5" customHeight="1">
      <c r="A34" s="220">
        <v>27</v>
      </c>
      <c r="B34" s="225" t="s">
        <v>373</v>
      </c>
      <c r="C34" s="217" t="s">
        <v>343</v>
      </c>
      <c r="D34" s="222" t="s">
        <v>348</v>
      </c>
      <c r="E34" s="214" t="s">
        <v>381</v>
      </c>
      <c r="F34" s="226">
        <v>2.6</v>
      </c>
      <c r="G34" s="214">
        <v>2</v>
      </c>
      <c r="H34" s="214">
        <v>2</v>
      </c>
    </row>
    <row r="35" spans="1:8" s="127" customFormat="1" ht="34.5" customHeight="1">
      <c r="A35" s="220">
        <v>28</v>
      </c>
      <c r="B35" s="225" t="s">
        <v>374</v>
      </c>
      <c r="C35" s="217" t="s">
        <v>343</v>
      </c>
      <c r="D35" s="222" t="s">
        <v>349</v>
      </c>
      <c r="E35" s="214" t="s">
        <v>381</v>
      </c>
      <c r="F35" s="226">
        <v>0.25</v>
      </c>
      <c r="G35" s="214">
        <v>1</v>
      </c>
      <c r="H35" s="214">
        <v>1</v>
      </c>
    </row>
    <row r="36" spans="1:8" s="127" customFormat="1" ht="34.5" customHeight="1">
      <c r="A36" s="220">
        <v>29</v>
      </c>
      <c r="B36" s="225" t="s">
        <v>375</v>
      </c>
      <c r="C36" s="217" t="s">
        <v>343</v>
      </c>
      <c r="D36" s="222" t="s">
        <v>346</v>
      </c>
      <c r="E36" s="214" t="s">
        <v>381</v>
      </c>
      <c r="F36" s="226">
        <v>3</v>
      </c>
      <c r="G36" s="214">
        <v>30</v>
      </c>
      <c r="H36" s="214">
        <v>30</v>
      </c>
    </row>
    <row r="37" spans="1:8" s="127" customFormat="1" ht="34.5" customHeight="1">
      <c r="A37" s="220">
        <v>30</v>
      </c>
      <c r="B37" s="225" t="s">
        <v>376</v>
      </c>
      <c r="C37" s="217" t="s">
        <v>343</v>
      </c>
      <c r="D37" s="222" t="s">
        <v>349</v>
      </c>
      <c r="E37" s="214" t="s">
        <v>381</v>
      </c>
      <c r="F37" s="226">
        <v>0.8</v>
      </c>
      <c r="G37" s="214">
        <v>2</v>
      </c>
      <c r="H37" s="214">
        <v>2</v>
      </c>
    </row>
    <row r="38" spans="1:8" s="127" customFormat="1" ht="34.5" customHeight="1">
      <c r="A38" s="220">
        <v>31</v>
      </c>
      <c r="B38" s="225" t="s">
        <v>364</v>
      </c>
      <c r="C38" s="217" t="s">
        <v>343</v>
      </c>
      <c r="D38" s="222" t="s">
        <v>350</v>
      </c>
      <c r="E38" s="214" t="s">
        <v>381</v>
      </c>
      <c r="F38" s="226">
        <v>3.2</v>
      </c>
      <c r="G38" s="214">
        <v>15</v>
      </c>
      <c r="H38" s="214">
        <v>15</v>
      </c>
    </row>
    <row r="39" spans="1:8" s="127" customFormat="1" ht="34.5" customHeight="1">
      <c r="A39" s="220">
        <v>32</v>
      </c>
      <c r="B39" s="225" t="s">
        <v>377</v>
      </c>
      <c r="C39" s="217" t="s">
        <v>343</v>
      </c>
      <c r="D39" s="222" t="s">
        <v>351</v>
      </c>
      <c r="E39" s="214" t="s">
        <v>381</v>
      </c>
      <c r="F39" s="226">
        <v>1.25</v>
      </c>
      <c r="G39" s="214">
        <v>2</v>
      </c>
      <c r="H39" s="214">
        <v>2</v>
      </c>
    </row>
    <row r="40" spans="1:8" s="127" customFormat="1" ht="34.5" customHeight="1">
      <c r="A40" s="220">
        <v>33</v>
      </c>
      <c r="B40" s="225" t="s">
        <v>378</v>
      </c>
      <c r="C40" s="217" t="s">
        <v>343</v>
      </c>
      <c r="D40" s="222" t="s">
        <v>352</v>
      </c>
      <c r="E40" s="214" t="s">
        <v>381</v>
      </c>
      <c r="F40" s="226">
        <v>1</v>
      </c>
      <c r="G40" s="214">
        <v>5</v>
      </c>
      <c r="H40" s="214">
        <v>5</v>
      </c>
    </row>
    <row r="41" spans="1:8" s="127" customFormat="1" ht="34.5" customHeight="1">
      <c r="A41" s="220">
        <v>34</v>
      </c>
      <c r="B41" s="225" t="s">
        <v>379</v>
      </c>
      <c r="C41" s="217" t="s">
        <v>343</v>
      </c>
      <c r="D41" s="222" t="s">
        <v>346</v>
      </c>
      <c r="E41" s="214" t="s">
        <v>381</v>
      </c>
      <c r="F41" s="226">
        <v>3.25</v>
      </c>
      <c r="G41" s="214">
        <v>30</v>
      </c>
      <c r="H41" s="214">
        <v>30</v>
      </c>
    </row>
    <row r="42" spans="1:8" s="127" customFormat="1" ht="34.5" customHeight="1">
      <c r="A42" s="220">
        <v>35</v>
      </c>
      <c r="B42" s="225" t="s">
        <v>380</v>
      </c>
      <c r="C42" s="217" t="s">
        <v>343</v>
      </c>
      <c r="D42" s="222" t="s">
        <v>346</v>
      </c>
      <c r="E42" s="214" t="s">
        <v>381</v>
      </c>
      <c r="F42" s="226">
        <v>2.25</v>
      </c>
      <c r="G42" s="214">
        <v>30</v>
      </c>
      <c r="H42" s="214">
        <v>30</v>
      </c>
    </row>
    <row r="43" spans="1:8" s="127" customFormat="1" ht="34.5" customHeight="1">
      <c r="A43" s="197"/>
      <c r="B43" s="198"/>
      <c r="C43" s="199"/>
      <c r="D43" s="200" t="s">
        <v>229</v>
      </c>
      <c r="E43" s="201"/>
      <c r="F43" s="212">
        <f>SUM(F8:F42)</f>
        <v>139.34916666666666</v>
      </c>
      <c r="G43" s="202">
        <f>SUM(G8:G42)</f>
        <v>1113</v>
      </c>
      <c r="H43" s="202">
        <f>SUM(H8:H42)</f>
        <v>771</v>
      </c>
    </row>
    <row r="44" spans="1:8" s="127" customFormat="1" ht="22.5" customHeight="1">
      <c r="A44" s="184"/>
      <c r="B44" s="187"/>
      <c r="C44" s="172" t="s">
        <v>320</v>
      </c>
      <c r="D44" s="172"/>
      <c r="E44" s="176"/>
      <c r="F44" s="175"/>
      <c r="G44" s="177"/>
      <c r="H44" s="178"/>
    </row>
    <row r="45" spans="1:8" s="127" customFormat="1" ht="34.5" customHeight="1">
      <c r="A45" s="184"/>
      <c r="B45" s="187"/>
      <c r="C45" s="172" t="s">
        <v>149</v>
      </c>
      <c r="D45" s="172"/>
      <c r="E45" s="176"/>
      <c r="F45" s="175">
        <f>SUM(F8:F32)</f>
        <v>121.24916666666667</v>
      </c>
      <c r="G45" s="175">
        <f>SUM(G8:G32)</f>
        <v>992</v>
      </c>
      <c r="H45" s="175">
        <f>SUM(H8:H32)</f>
        <v>650</v>
      </c>
    </row>
    <row r="46" spans="1:8" s="127" customFormat="1" ht="34.5" customHeight="1">
      <c r="A46" s="184"/>
      <c r="B46" s="187"/>
      <c r="C46" s="172" t="s">
        <v>236</v>
      </c>
      <c r="D46" s="172"/>
      <c r="E46" s="176"/>
      <c r="F46" s="175">
        <f>SUM(F33:F42)</f>
        <v>18.1</v>
      </c>
      <c r="G46" s="175">
        <f>SUM(G33:G42)</f>
        <v>121</v>
      </c>
      <c r="H46" s="175">
        <f>SUM(H33:H42)</f>
        <v>121</v>
      </c>
    </row>
    <row r="47" spans="1:8" s="127" customFormat="1" ht="34.5" customHeight="1">
      <c r="A47" s="203"/>
      <c r="B47" s="204"/>
      <c r="C47" s="205"/>
      <c r="D47" s="205"/>
      <c r="E47" s="206"/>
      <c r="F47" s="207"/>
      <c r="G47" s="208"/>
      <c r="H47" s="208"/>
    </row>
    <row r="48" spans="1:8" s="127" customFormat="1" ht="34.5" customHeight="1">
      <c r="A48" s="772"/>
      <c r="B48" s="772"/>
      <c r="C48" s="772"/>
      <c r="D48" s="772"/>
      <c r="E48" s="772"/>
      <c r="F48" s="209"/>
      <c r="G48" s="209"/>
      <c r="H48" s="209"/>
    </row>
    <row r="49" spans="1:8" s="127" customFormat="1" ht="34.5" customHeight="1">
      <c r="A49" s="771"/>
      <c r="B49" s="771"/>
      <c r="C49" s="771"/>
      <c r="D49" s="771"/>
      <c r="E49" s="771"/>
      <c r="F49" s="207"/>
      <c r="G49" s="208"/>
      <c r="H49" s="208"/>
    </row>
    <row r="50" spans="1:8" s="127" customFormat="1" ht="34.5" customHeight="1">
      <c r="A50" s="203"/>
      <c r="B50" s="204"/>
      <c r="C50" s="205"/>
      <c r="D50" s="205"/>
      <c r="E50" s="206"/>
      <c r="F50" s="207"/>
      <c r="G50" s="208"/>
      <c r="H50" s="208"/>
    </row>
    <row r="51" spans="1:8" s="127" customFormat="1" ht="34.5" customHeight="1">
      <c r="A51" s="203"/>
      <c r="B51" s="204"/>
      <c r="C51" s="205"/>
      <c r="D51" s="205"/>
      <c r="E51" s="206"/>
      <c r="F51" s="207"/>
      <c r="G51" s="208"/>
      <c r="H51" s="208"/>
    </row>
    <row r="52" spans="1:8" s="127" customFormat="1" ht="34.5" customHeight="1">
      <c r="A52" s="203"/>
      <c r="B52" s="204"/>
      <c r="C52" s="205"/>
      <c r="D52" s="205"/>
      <c r="E52" s="206"/>
      <c r="F52" s="207"/>
      <c r="G52" s="208"/>
      <c r="H52" s="208"/>
    </row>
    <row r="53" spans="1:8" s="127" customFormat="1" ht="34.5" customHeight="1">
      <c r="A53" s="203"/>
      <c r="B53" s="204"/>
      <c r="C53" s="205"/>
      <c r="D53" s="205"/>
      <c r="E53" s="206"/>
      <c r="F53" s="207"/>
      <c r="G53" s="208"/>
      <c r="H53" s="208"/>
    </row>
    <row r="54" spans="1:8" s="127" customFormat="1" ht="34.5" customHeight="1">
      <c r="A54" s="203"/>
      <c r="B54" s="204"/>
      <c r="C54" s="205"/>
      <c r="D54" s="205"/>
      <c r="E54" s="206"/>
      <c r="F54" s="207"/>
      <c r="G54" s="208"/>
      <c r="H54" s="208"/>
    </row>
    <row r="55" spans="1:8" s="127" customFormat="1" ht="34.5" customHeight="1">
      <c r="A55" s="203"/>
      <c r="B55" s="204"/>
      <c r="C55" s="205"/>
      <c r="D55" s="205"/>
      <c r="E55" s="206"/>
      <c r="F55" s="207"/>
      <c r="G55" s="208"/>
      <c r="H55" s="208"/>
    </row>
    <row r="56" spans="1:8" s="127" customFormat="1" ht="34.5" customHeight="1">
      <c r="A56" s="203"/>
      <c r="B56" s="204"/>
      <c r="C56" s="205"/>
      <c r="D56" s="205"/>
      <c r="E56" s="206"/>
      <c r="F56" s="207"/>
      <c r="G56" s="208"/>
      <c r="H56" s="208"/>
    </row>
    <row r="57" spans="1:8" s="127" customFormat="1" ht="34.5" customHeight="1">
      <c r="A57" s="203"/>
      <c r="B57" s="204"/>
      <c r="C57" s="205"/>
      <c r="D57" s="205"/>
      <c r="E57" s="206"/>
      <c r="F57" s="207"/>
      <c r="G57" s="208"/>
      <c r="H57" s="208"/>
    </row>
    <row r="58" spans="1:8" s="127" customFormat="1" ht="34.5" customHeight="1">
      <c r="A58" s="203"/>
      <c r="B58" s="204"/>
      <c r="C58" s="205"/>
      <c r="D58" s="205"/>
      <c r="E58" s="206"/>
      <c r="F58" s="207"/>
      <c r="G58" s="208"/>
      <c r="H58" s="208"/>
    </row>
    <row r="59" spans="1:8" s="127" customFormat="1" ht="34.5" customHeight="1">
      <c r="A59" s="203"/>
      <c r="B59" s="204"/>
      <c r="C59" s="205"/>
      <c r="D59" s="205"/>
      <c r="E59" s="206"/>
      <c r="F59" s="207"/>
      <c r="G59" s="208"/>
      <c r="H59" s="208"/>
    </row>
    <row r="60" spans="1:8" s="127" customFormat="1" ht="34.5" customHeight="1">
      <c r="A60" s="203"/>
      <c r="B60" s="204"/>
      <c r="C60" s="205"/>
      <c r="D60" s="205"/>
      <c r="E60" s="206"/>
      <c r="F60" s="207"/>
      <c r="G60" s="208"/>
      <c r="H60" s="208"/>
    </row>
    <row r="61" spans="1:8" s="127" customFormat="1" ht="34.5" customHeight="1">
      <c r="A61" s="203"/>
      <c r="B61" s="204"/>
      <c r="C61" s="205"/>
      <c r="D61" s="205"/>
      <c r="E61" s="206"/>
      <c r="F61" s="207"/>
      <c r="G61" s="208"/>
      <c r="H61" s="208"/>
    </row>
    <row r="62" spans="1:8" s="127" customFormat="1" ht="34.5" customHeight="1">
      <c r="A62" s="203"/>
      <c r="B62" s="204"/>
      <c r="C62" s="205"/>
      <c r="D62" s="205"/>
      <c r="E62" s="206"/>
      <c r="F62" s="207"/>
      <c r="G62" s="208"/>
      <c r="H62" s="208"/>
    </row>
    <row r="63" spans="1:8" s="127" customFormat="1" ht="34.5" customHeight="1">
      <c r="A63" s="203"/>
      <c r="B63" s="204"/>
      <c r="C63" s="205"/>
      <c r="D63" s="205"/>
      <c r="E63" s="206"/>
      <c r="F63" s="207"/>
      <c r="G63" s="208"/>
      <c r="H63" s="208"/>
    </row>
    <row r="64" spans="1:8" s="127" customFormat="1" ht="34.5" customHeight="1">
      <c r="A64" s="203"/>
      <c r="B64" s="204"/>
      <c r="C64" s="205"/>
      <c r="D64" s="205"/>
      <c r="E64" s="206"/>
      <c r="F64" s="207"/>
      <c r="G64" s="208"/>
      <c r="H64" s="208"/>
    </row>
    <row r="65" spans="1:8" s="127" customFormat="1" ht="34.5" customHeight="1">
      <c r="A65" s="203"/>
      <c r="B65" s="204"/>
      <c r="C65" s="205"/>
      <c r="D65" s="205"/>
      <c r="E65" s="206"/>
      <c r="F65" s="207"/>
      <c r="G65" s="208"/>
      <c r="H65" s="208"/>
    </row>
    <row r="66" spans="1:8" s="127" customFormat="1" ht="34.5" customHeight="1">
      <c r="A66" s="203"/>
      <c r="B66" s="204"/>
      <c r="C66" s="205"/>
      <c r="D66" s="205"/>
      <c r="E66" s="206"/>
      <c r="F66" s="207"/>
      <c r="G66" s="208"/>
      <c r="H66" s="208"/>
    </row>
    <row r="67" spans="1:8" s="127" customFormat="1" ht="34.5" customHeight="1">
      <c r="A67" s="203"/>
      <c r="B67" s="204"/>
      <c r="C67" s="205"/>
      <c r="D67" s="205"/>
      <c r="E67" s="206"/>
      <c r="F67" s="207"/>
      <c r="G67" s="208"/>
      <c r="H67" s="208"/>
    </row>
    <row r="68" spans="1:8" s="127" customFormat="1" ht="34.5" customHeight="1">
      <c r="A68" s="203"/>
      <c r="B68" s="204"/>
      <c r="C68" s="205"/>
      <c r="D68" s="205"/>
      <c r="E68" s="206"/>
      <c r="F68" s="207"/>
      <c r="G68" s="208"/>
      <c r="H68" s="208"/>
    </row>
    <row r="69" spans="1:8" s="127" customFormat="1" ht="34.5" customHeight="1">
      <c r="A69" s="203"/>
      <c r="B69" s="204"/>
      <c r="C69" s="205"/>
      <c r="D69" s="205"/>
      <c r="E69" s="206"/>
      <c r="F69" s="207"/>
      <c r="G69" s="208"/>
      <c r="H69" s="208"/>
    </row>
    <row r="70" spans="1:8" s="127" customFormat="1" ht="34.5" customHeight="1">
      <c r="A70" s="203"/>
      <c r="B70" s="204"/>
      <c r="C70" s="205"/>
      <c r="D70" s="205"/>
      <c r="E70" s="206"/>
      <c r="F70" s="207"/>
      <c r="G70" s="208"/>
      <c r="H70" s="208"/>
    </row>
    <row r="71" spans="1:8" s="127" customFormat="1" ht="34.5" customHeight="1">
      <c r="A71" s="203"/>
      <c r="B71" s="204"/>
      <c r="C71" s="205"/>
      <c r="D71" s="205"/>
      <c r="E71" s="206"/>
      <c r="F71" s="207"/>
      <c r="G71" s="208"/>
      <c r="H71" s="208"/>
    </row>
    <row r="72" spans="1:8" s="127" customFormat="1" ht="34.5" customHeight="1">
      <c r="A72" s="203"/>
      <c r="B72" s="204"/>
      <c r="C72" s="205"/>
      <c r="D72" s="205"/>
      <c r="E72" s="206"/>
      <c r="F72" s="207"/>
      <c r="G72" s="208"/>
      <c r="H72" s="208"/>
    </row>
    <row r="73" spans="1:8" s="127" customFormat="1" ht="34.5" customHeight="1">
      <c r="A73" s="203"/>
      <c r="B73" s="204"/>
      <c r="C73" s="205"/>
      <c r="D73" s="205"/>
      <c r="E73" s="206"/>
      <c r="F73" s="207"/>
      <c r="G73" s="208"/>
      <c r="H73" s="208"/>
    </row>
    <row r="74" spans="1:8" s="127" customFormat="1" ht="34.5" customHeight="1">
      <c r="A74" s="203"/>
      <c r="B74" s="204"/>
      <c r="C74" s="205"/>
      <c r="D74" s="205"/>
      <c r="E74" s="206"/>
      <c r="F74" s="207"/>
      <c r="G74" s="208"/>
      <c r="H74" s="208"/>
    </row>
    <row r="75" spans="1:8" s="127" customFormat="1" ht="34.5" customHeight="1">
      <c r="A75" s="203"/>
      <c r="B75" s="204"/>
      <c r="C75" s="205"/>
      <c r="D75" s="205"/>
      <c r="E75" s="206"/>
      <c r="F75" s="207"/>
      <c r="G75" s="208"/>
      <c r="H75" s="208"/>
    </row>
    <row r="76" spans="1:8" s="127" customFormat="1" ht="34.5" customHeight="1">
      <c r="A76" s="203"/>
      <c r="B76" s="204"/>
      <c r="C76" s="205"/>
      <c r="D76" s="205"/>
      <c r="E76" s="206"/>
      <c r="F76" s="207"/>
      <c r="G76" s="208"/>
      <c r="H76" s="208"/>
    </row>
    <row r="77" spans="1:8" s="127" customFormat="1" ht="34.5" customHeight="1">
      <c r="A77" s="203"/>
      <c r="B77" s="204"/>
      <c r="C77" s="205"/>
      <c r="D77" s="205"/>
      <c r="E77" s="206"/>
      <c r="F77" s="207"/>
      <c r="G77" s="208"/>
      <c r="H77" s="208"/>
    </row>
    <row r="78" spans="1:8" s="127" customFormat="1" ht="34.5" customHeight="1">
      <c r="A78" s="203"/>
      <c r="B78" s="204"/>
      <c r="C78" s="205"/>
      <c r="D78" s="205"/>
      <c r="E78" s="206"/>
      <c r="F78" s="207"/>
      <c r="G78" s="208"/>
      <c r="H78" s="208"/>
    </row>
    <row r="79" spans="1:8" s="127" customFormat="1" ht="34.5" customHeight="1">
      <c r="A79" s="203"/>
      <c r="B79" s="204"/>
      <c r="C79" s="205"/>
      <c r="D79" s="205"/>
      <c r="E79" s="206"/>
      <c r="F79" s="207"/>
      <c r="G79" s="208"/>
      <c r="H79" s="208"/>
    </row>
    <row r="80" spans="1:8" s="127" customFormat="1" ht="34.5" customHeight="1">
      <c r="A80" s="203"/>
      <c r="B80" s="204"/>
      <c r="C80" s="205"/>
      <c r="D80" s="205"/>
      <c r="E80" s="206"/>
      <c r="F80" s="207"/>
      <c r="G80" s="208"/>
      <c r="H80" s="208"/>
    </row>
    <row r="81" spans="1:8" s="127" customFormat="1" ht="34.5" customHeight="1">
      <c r="A81" s="203"/>
      <c r="B81" s="204"/>
      <c r="C81" s="205"/>
      <c r="D81" s="205"/>
      <c r="E81" s="206"/>
      <c r="F81" s="207"/>
      <c r="G81" s="208"/>
      <c r="H81" s="208"/>
    </row>
    <row r="82" spans="1:8" s="127" customFormat="1" ht="34.5" customHeight="1">
      <c r="A82" s="203"/>
      <c r="B82" s="204"/>
      <c r="C82" s="205"/>
      <c r="D82" s="205"/>
      <c r="E82" s="206"/>
      <c r="F82" s="207"/>
      <c r="G82" s="208"/>
      <c r="H82" s="208"/>
    </row>
    <row r="83" spans="1:8" s="127" customFormat="1" ht="34.5" customHeight="1">
      <c r="A83" s="203"/>
      <c r="B83" s="204"/>
      <c r="C83" s="205"/>
      <c r="D83" s="205"/>
      <c r="E83" s="206"/>
      <c r="F83" s="207"/>
      <c r="G83" s="208"/>
      <c r="H83" s="208"/>
    </row>
    <row r="84" spans="1:8" s="127" customFormat="1" ht="34.5" customHeight="1">
      <c r="A84" s="203"/>
      <c r="B84" s="204"/>
      <c r="C84" s="205"/>
      <c r="D84" s="205"/>
      <c r="E84" s="206"/>
      <c r="F84" s="207"/>
      <c r="G84" s="208"/>
      <c r="H84" s="208"/>
    </row>
    <row r="85" spans="1:8" s="127" customFormat="1" ht="34.5" customHeight="1">
      <c r="A85" s="203"/>
      <c r="B85" s="204"/>
      <c r="C85" s="205"/>
      <c r="D85" s="205"/>
      <c r="E85" s="206"/>
      <c r="F85" s="207"/>
      <c r="G85" s="208"/>
      <c r="H85" s="208"/>
    </row>
    <row r="86" spans="1:8" s="127" customFormat="1" ht="34.5" customHeight="1">
      <c r="A86" s="203"/>
      <c r="B86" s="204"/>
      <c r="C86" s="205"/>
      <c r="D86" s="205"/>
      <c r="E86" s="206"/>
      <c r="F86" s="207"/>
      <c r="G86" s="208"/>
      <c r="H86" s="208"/>
    </row>
    <row r="87" spans="1:8" s="127" customFormat="1" ht="34.5" customHeight="1">
      <c r="A87" s="203"/>
      <c r="B87" s="204"/>
      <c r="C87" s="205"/>
      <c r="D87" s="205"/>
      <c r="E87" s="206"/>
      <c r="F87" s="207"/>
      <c r="G87" s="208"/>
      <c r="H87" s="208"/>
    </row>
    <row r="88" spans="1:8" s="127" customFormat="1" ht="34.5" customHeight="1">
      <c r="A88" s="203"/>
      <c r="B88" s="204"/>
      <c r="C88" s="205"/>
      <c r="D88" s="205"/>
      <c r="E88" s="206"/>
      <c r="F88" s="207"/>
      <c r="G88" s="208"/>
      <c r="H88" s="208"/>
    </row>
    <row r="89" spans="1:8" s="127" customFormat="1" ht="34.5" customHeight="1">
      <c r="A89" s="203"/>
      <c r="B89" s="204"/>
      <c r="C89" s="205"/>
      <c r="D89" s="205"/>
      <c r="E89" s="206"/>
      <c r="F89" s="207"/>
      <c r="G89" s="208"/>
      <c r="H89" s="208"/>
    </row>
    <row r="90" spans="1:8" s="127" customFormat="1" ht="34.5" customHeight="1">
      <c r="A90" s="203"/>
      <c r="B90" s="204"/>
      <c r="C90" s="205"/>
      <c r="D90" s="205"/>
      <c r="E90" s="206"/>
      <c r="F90" s="207"/>
      <c r="G90" s="208"/>
      <c r="H90" s="208"/>
    </row>
    <row r="91" spans="1:8" s="127" customFormat="1" ht="34.5" customHeight="1">
      <c r="A91" s="203"/>
      <c r="B91" s="204"/>
      <c r="C91" s="205"/>
      <c r="D91" s="205"/>
      <c r="E91" s="206"/>
      <c r="F91" s="207"/>
      <c r="G91" s="208"/>
      <c r="H91" s="208"/>
    </row>
    <row r="92" spans="1:8" s="127" customFormat="1" ht="34.5" customHeight="1">
      <c r="A92" s="203"/>
      <c r="B92" s="204"/>
      <c r="C92" s="205"/>
      <c r="D92" s="205"/>
      <c r="E92" s="206"/>
      <c r="F92" s="207"/>
      <c r="G92" s="208"/>
      <c r="H92" s="208"/>
    </row>
    <row r="93" spans="1:8" s="127" customFormat="1" ht="34.5" customHeight="1">
      <c r="A93" s="203"/>
      <c r="B93" s="204"/>
      <c r="C93" s="205"/>
      <c r="D93" s="205"/>
      <c r="E93" s="206"/>
      <c r="F93" s="207"/>
      <c r="G93" s="208"/>
      <c r="H93" s="208"/>
    </row>
    <row r="94" spans="1:8" s="127" customFormat="1" ht="34.5" customHeight="1">
      <c r="A94" s="203"/>
      <c r="B94" s="204"/>
      <c r="C94" s="205"/>
      <c r="D94" s="205"/>
      <c r="E94" s="206"/>
      <c r="F94" s="207"/>
      <c r="G94" s="208"/>
      <c r="H94" s="208"/>
    </row>
    <row r="95" spans="1:8" s="127" customFormat="1" ht="34.5" customHeight="1">
      <c r="A95" s="203"/>
      <c r="B95" s="204"/>
      <c r="C95" s="205"/>
      <c r="D95" s="205"/>
      <c r="E95" s="206"/>
      <c r="F95" s="207"/>
      <c r="G95" s="208"/>
      <c r="H95" s="208"/>
    </row>
    <row r="96" spans="1:8" s="127" customFormat="1" ht="34.5" customHeight="1">
      <c r="A96" s="203"/>
      <c r="B96" s="204"/>
      <c r="C96" s="205"/>
      <c r="D96" s="205"/>
      <c r="E96" s="206"/>
      <c r="F96" s="207"/>
      <c r="G96" s="208"/>
      <c r="H96" s="208"/>
    </row>
    <row r="97" spans="1:8" s="127" customFormat="1" ht="34.5" customHeight="1">
      <c r="A97" s="203"/>
      <c r="B97" s="204"/>
      <c r="C97" s="205"/>
      <c r="D97" s="205"/>
      <c r="E97" s="206"/>
      <c r="F97" s="207"/>
      <c r="G97" s="208"/>
      <c r="H97" s="208"/>
    </row>
    <row r="98" spans="1:8" s="127" customFormat="1" ht="34.5" customHeight="1">
      <c r="A98" s="203"/>
      <c r="B98" s="204"/>
      <c r="C98" s="205"/>
      <c r="D98" s="205"/>
      <c r="E98" s="206"/>
      <c r="F98" s="207"/>
      <c r="G98" s="208"/>
      <c r="H98" s="208"/>
    </row>
    <row r="99" spans="1:8" s="127" customFormat="1" ht="34.5" customHeight="1">
      <c r="A99" s="203"/>
      <c r="B99" s="204"/>
      <c r="C99" s="205"/>
      <c r="D99" s="205"/>
      <c r="E99" s="206"/>
      <c r="F99" s="207"/>
      <c r="G99" s="208"/>
      <c r="H99" s="208"/>
    </row>
    <row r="100" spans="1:8" s="127" customFormat="1" ht="34.5" customHeight="1">
      <c r="A100" s="203"/>
      <c r="B100" s="204"/>
      <c r="C100" s="205"/>
      <c r="D100" s="205"/>
      <c r="E100" s="206"/>
      <c r="F100" s="207"/>
      <c r="G100" s="208"/>
      <c r="H100" s="208"/>
    </row>
    <row r="101" spans="1:8" s="127" customFormat="1" ht="34.5" customHeight="1">
      <c r="A101" s="203"/>
      <c r="B101" s="204"/>
      <c r="C101" s="205"/>
      <c r="D101" s="205"/>
      <c r="E101" s="206"/>
      <c r="F101" s="207"/>
      <c r="G101" s="208"/>
      <c r="H101" s="208"/>
    </row>
    <row r="102" spans="1:8" s="127" customFormat="1" ht="34.5" customHeight="1">
      <c r="A102" s="203"/>
      <c r="B102" s="204"/>
      <c r="C102" s="205"/>
      <c r="D102" s="205"/>
      <c r="E102" s="206"/>
      <c r="F102" s="207"/>
      <c r="G102" s="208"/>
      <c r="H102" s="208"/>
    </row>
    <row r="103" spans="1:8" s="127" customFormat="1" ht="34.5" customHeight="1">
      <c r="A103" s="203"/>
      <c r="B103" s="204"/>
      <c r="C103" s="205"/>
      <c r="D103" s="205"/>
      <c r="E103" s="206"/>
      <c r="F103" s="207"/>
      <c r="G103" s="208"/>
      <c r="H103" s="208"/>
    </row>
    <row r="104" spans="1:8" s="127" customFormat="1" ht="34.5" customHeight="1">
      <c r="A104" s="203"/>
      <c r="B104" s="204"/>
      <c r="C104" s="205"/>
      <c r="D104" s="205"/>
      <c r="E104" s="206"/>
      <c r="F104" s="207"/>
      <c r="G104" s="208"/>
      <c r="H104" s="208"/>
    </row>
    <row r="105" spans="1:8" s="127" customFormat="1" ht="34.5" customHeight="1">
      <c r="A105" s="203"/>
      <c r="B105" s="204"/>
      <c r="C105" s="205"/>
      <c r="D105" s="205"/>
      <c r="E105" s="206"/>
      <c r="F105" s="207"/>
      <c r="G105" s="208"/>
      <c r="H105" s="208"/>
    </row>
    <row r="106" spans="1:8" s="127" customFormat="1" ht="34.5" customHeight="1">
      <c r="A106" s="203"/>
      <c r="B106" s="204"/>
      <c r="C106" s="205"/>
      <c r="D106" s="205"/>
      <c r="E106" s="206"/>
      <c r="F106" s="207"/>
      <c r="G106" s="208"/>
      <c r="H106" s="208"/>
    </row>
    <row r="107" spans="1:8" s="127" customFormat="1" ht="34.5" customHeight="1">
      <c r="A107" s="203"/>
      <c r="B107" s="204"/>
      <c r="C107" s="205"/>
      <c r="D107" s="205"/>
      <c r="E107" s="206"/>
      <c r="F107" s="207"/>
      <c r="G107" s="208"/>
      <c r="H107" s="208"/>
    </row>
    <row r="108" spans="1:8" s="127" customFormat="1" ht="34.5" customHeight="1">
      <c r="A108" s="203"/>
      <c r="B108" s="204"/>
      <c r="C108" s="205"/>
      <c r="D108" s="205"/>
      <c r="E108" s="206"/>
      <c r="F108" s="207"/>
      <c r="G108" s="208"/>
      <c r="H108" s="208"/>
    </row>
    <row r="109" spans="1:8" s="127" customFormat="1" ht="34.5" customHeight="1">
      <c r="A109" s="203"/>
      <c r="B109" s="204"/>
      <c r="C109" s="205"/>
      <c r="D109" s="205"/>
      <c r="E109" s="206"/>
      <c r="F109" s="207"/>
      <c r="G109" s="208"/>
      <c r="H109" s="208"/>
    </row>
    <row r="110" spans="1:8" s="127" customFormat="1" ht="34.5" customHeight="1">
      <c r="A110" s="203"/>
      <c r="B110" s="204"/>
      <c r="C110" s="205"/>
      <c r="D110" s="205"/>
      <c r="E110" s="206"/>
      <c r="F110" s="207"/>
      <c r="G110" s="208"/>
      <c r="H110" s="208"/>
    </row>
    <row r="111" spans="1:8" s="127" customFormat="1" ht="34.5" customHeight="1">
      <c r="A111" s="203"/>
      <c r="B111" s="204"/>
      <c r="C111" s="205"/>
      <c r="D111" s="205"/>
      <c r="E111" s="206"/>
      <c r="F111" s="207"/>
      <c r="G111" s="208"/>
      <c r="H111" s="208"/>
    </row>
    <row r="112" spans="1:8" s="127" customFormat="1" ht="34.5" customHeight="1">
      <c r="A112" s="203"/>
      <c r="B112" s="204"/>
      <c r="C112" s="205"/>
      <c r="D112" s="205"/>
      <c r="E112" s="206"/>
      <c r="F112" s="207"/>
      <c r="G112" s="208"/>
      <c r="H112" s="208"/>
    </row>
    <row r="113" spans="1:8" s="127" customFormat="1" ht="34.5" customHeight="1">
      <c r="A113" s="203"/>
      <c r="B113" s="204"/>
      <c r="C113" s="205"/>
      <c r="D113" s="205"/>
      <c r="E113" s="206"/>
      <c r="F113" s="207"/>
      <c r="G113" s="208"/>
      <c r="H113" s="208"/>
    </row>
    <row r="114" spans="1:8" s="127" customFormat="1" ht="34.5" customHeight="1">
      <c r="A114" s="203"/>
      <c r="B114" s="204"/>
      <c r="C114" s="205"/>
      <c r="D114" s="205"/>
      <c r="E114" s="206"/>
      <c r="F114" s="207"/>
      <c r="G114" s="208"/>
      <c r="H114" s="208"/>
    </row>
    <row r="115" spans="1:8" s="127" customFormat="1" ht="34.5" customHeight="1">
      <c r="A115" s="203"/>
      <c r="B115" s="204"/>
      <c r="C115" s="205"/>
      <c r="D115" s="205"/>
      <c r="E115" s="206"/>
      <c r="F115" s="207"/>
      <c r="G115" s="208"/>
      <c r="H115" s="208"/>
    </row>
    <row r="116" spans="1:8" s="127" customFormat="1" ht="34.5" customHeight="1">
      <c r="A116" s="203"/>
      <c r="B116" s="204"/>
      <c r="C116" s="205"/>
      <c r="D116" s="205"/>
      <c r="E116" s="206"/>
      <c r="F116" s="207"/>
      <c r="G116" s="208"/>
      <c r="H116" s="208"/>
    </row>
    <row r="117" spans="1:8" s="127" customFormat="1" ht="34.5" customHeight="1">
      <c r="A117" s="203"/>
      <c r="B117" s="204"/>
      <c r="C117" s="205"/>
      <c r="D117" s="205"/>
      <c r="E117" s="206"/>
      <c r="F117" s="207"/>
      <c r="G117" s="208"/>
      <c r="H117" s="208"/>
    </row>
    <row r="118" spans="1:8" s="127" customFormat="1" ht="34.5" customHeight="1">
      <c r="A118" s="203"/>
      <c r="B118" s="204"/>
      <c r="C118" s="205"/>
      <c r="D118" s="205"/>
      <c r="E118" s="206"/>
      <c r="F118" s="207"/>
      <c r="G118" s="208"/>
      <c r="H118" s="208"/>
    </row>
    <row r="119" spans="1:8" s="127" customFormat="1" ht="34.5" customHeight="1">
      <c r="A119" s="203"/>
      <c r="B119" s="204"/>
      <c r="C119" s="205"/>
      <c r="D119" s="205"/>
      <c r="E119" s="206"/>
      <c r="F119" s="207"/>
      <c r="G119" s="208"/>
      <c r="H119" s="208"/>
    </row>
    <row r="120" spans="1:8" s="127" customFormat="1" ht="34.5" customHeight="1">
      <c r="A120" s="203"/>
      <c r="B120" s="204"/>
      <c r="C120" s="205"/>
      <c r="D120" s="205"/>
      <c r="E120" s="206"/>
      <c r="F120" s="207"/>
      <c r="G120" s="208"/>
      <c r="H120" s="208"/>
    </row>
    <row r="121" spans="1:8" s="127" customFormat="1" ht="34.5" customHeight="1">
      <c r="A121" s="203"/>
      <c r="B121" s="204"/>
      <c r="C121" s="205"/>
      <c r="D121" s="205"/>
      <c r="E121" s="206"/>
      <c r="F121" s="207"/>
      <c r="G121" s="208"/>
      <c r="H121" s="208"/>
    </row>
    <row r="122" s="127" customFormat="1" ht="19.5" customHeight="1"/>
    <row r="123" spans="1:8" s="127" customFormat="1" ht="15.75">
      <c r="A123" s="210" t="s">
        <v>321</v>
      </c>
      <c r="B123" s="210"/>
      <c r="C123" s="210"/>
      <c r="D123" s="169"/>
      <c r="E123" s="169"/>
      <c r="F123" s="169"/>
      <c r="G123" s="169"/>
      <c r="H123" s="169"/>
    </row>
    <row r="124" spans="1:8" s="127" customFormat="1" ht="15">
      <c r="A124" s="211" t="s">
        <v>322</v>
      </c>
      <c r="B124" s="211"/>
      <c r="C124" s="211"/>
      <c r="D124" s="169"/>
      <c r="E124" s="169"/>
      <c r="F124" s="169"/>
      <c r="G124" s="169"/>
      <c r="H124" s="169"/>
    </row>
    <row r="125" spans="1:8" s="127" customFormat="1" ht="15">
      <c r="A125" s="169"/>
      <c r="B125" s="169"/>
      <c r="C125" s="169"/>
      <c r="D125" s="169"/>
      <c r="E125" s="169"/>
      <c r="F125" s="169"/>
      <c r="G125" s="169"/>
      <c r="H125" s="169"/>
    </row>
    <row r="126" spans="1:8" s="127" customFormat="1" ht="15">
      <c r="A126" s="169"/>
      <c r="B126" s="169"/>
      <c r="C126" s="169"/>
      <c r="D126" s="169"/>
      <c r="E126" s="169"/>
      <c r="F126" s="169"/>
      <c r="G126" s="169"/>
      <c r="H126" s="169"/>
    </row>
    <row r="127" spans="1:8" s="127" customFormat="1" ht="15">
      <c r="A127" s="169"/>
      <c r="B127" s="169"/>
      <c r="C127" s="169"/>
      <c r="D127" s="169"/>
      <c r="E127" s="169"/>
      <c r="F127" s="169"/>
      <c r="G127" s="169"/>
      <c r="H127" s="169"/>
    </row>
    <row r="128" s="127" customFormat="1" ht="15"/>
  </sheetData>
  <sheetProtection/>
  <mergeCells count="11">
    <mergeCell ref="A1:G1"/>
    <mergeCell ref="A2:G2"/>
    <mergeCell ref="A4:A6"/>
    <mergeCell ref="B4:B6"/>
    <mergeCell ref="C4:D6"/>
    <mergeCell ref="E4:E6"/>
    <mergeCell ref="F4:F6"/>
    <mergeCell ref="G4:G6"/>
    <mergeCell ref="H4:H6"/>
    <mergeCell ref="A49:E49"/>
    <mergeCell ref="A48:E4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"/>
  <sheetViews>
    <sheetView zoomScale="75" zoomScaleNormal="75" zoomScalePageLayoutView="0" workbookViewId="0" topLeftCell="A4">
      <selection activeCell="B16" sqref="B16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20.140625" style="0" customWidth="1"/>
    <col min="4" max="4" width="22.7109375" style="0" customWidth="1"/>
    <col min="5" max="5" width="26.57421875" style="0" customWidth="1"/>
    <col min="6" max="6" width="21.8515625" style="0" customWidth="1"/>
    <col min="7" max="7" width="25.00390625" style="0" customWidth="1"/>
    <col min="8" max="8" width="23.8515625" style="0" customWidth="1"/>
  </cols>
  <sheetData>
    <row r="1" spans="1:8" ht="64.5" customHeight="1">
      <c r="A1" s="643" t="s">
        <v>17</v>
      </c>
      <c r="B1" s="643"/>
      <c r="C1" s="643"/>
      <c r="D1" s="643"/>
      <c r="E1" s="643"/>
      <c r="F1" s="643"/>
      <c r="G1" s="643"/>
      <c r="H1" s="643"/>
    </row>
    <row r="2" ht="15.75" thickBot="1">
      <c r="A2" s="2"/>
    </row>
    <row r="3" spans="1:8" ht="197.25" customHeight="1">
      <c r="A3" s="649" t="s">
        <v>9</v>
      </c>
      <c r="B3" s="648" t="s">
        <v>51</v>
      </c>
      <c r="C3" s="651" t="s">
        <v>49</v>
      </c>
      <c r="D3" s="651" t="s">
        <v>50</v>
      </c>
      <c r="E3" s="651" t="s">
        <v>52</v>
      </c>
      <c r="F3" s="651" t="s">
        <v>53</v>
      </c>
      <c r="G3" s="648" t="s">
        <v>18</v>
      </c>
      <c r="H3" s="648" t="s">
        <v>19</v>
      </c>
    </row>
    <row r="4" spans="1:8" ht="36.75" customHeight="1">
      <c r="A4" s="650"/>
      <c r="B4" s="648"/>
      <c r="C4" s="652"/>
      <c r="D4" s="652"/>
      <c r="E4" s="652"/>
      <c r="F4" s="652"/>
      <c r="G4" s="648"/>
      <c r="H4" s="648"/>
    </row>
    <row r="5" spans="1:8" ht="15">
      <c r="A5" s="34">
        <v>1</v>
      </c>
      <c r="B5" s="34">
        <v>2</v>
      </c>
      <c r="C5" s="34">
        <v>3</v>
      </c>
      <c r="D5" s="34">
        <v>7</v>
      </c>
      <c r="E5" s="34">
        <v>11</v>
      </c>
      <c r="F5" s="34">
        <v>15</v>
      </c>
      <c r="G5" s="34">
        <v>19</v>
      </c>
      <c r="H5" s="34">
        <v>20</v>
      </c>
    </row>
    <row r="6" spans="1:8" ht="55.5" customHeight="1">
      <c r="A6" s="374">
        <v>1</v>
      </c>
      <c r="B6" s="227" t="s">
        <v>149</v>
      </c>
      <c r="C6" s="228">
        <f>'Пункт 2.1.'!D8</f>
        <v>0.37380863039399626</v>
      </c>
      <c r="D6" s="228">
        <f>'Пункт 2.1.'!D13</f>
        <v>0.18198874296435272</v>
      </c>
      <c r="E6" s="228">
        <f>'Пункт 2.1.'!D18</f>
        <v>2.653558474046279</v>
      </c>
      <c r="F6" s="228">
        <f>'Пункт 2.1.'!D23</f>
        <v>0.1957473420888055</v>
      </c>
      <c r="G6" s="229" t="s">
        <v>158</v>
      </c>
      <c r="H6" s="645" t="s">
        <v>505</v>
      </c>
    </row>
    <row r="7" spans="1:8" ht="48" customHeight="1">
      <c r="A7" s="374">
        <v>2</v>
      </c>
      <c r="B7" s="6" t="s">
        <v>236</v>
      </c>
      <c r="C7" s="372">
        <f>'Пункт 2.1.'!G8</f>
        <v>0.014050353356890458</v>
      </c>
      <c r="D7" s="372">
        <f>'Пункт 2.1.'!G13</f>
        <v>0.01678445229681979</v>
      </c>
      <c r="E7" s="372">
        <f>'Пункт 2.1.'!G18</f>
        <v>0.9205874558303887</v>
      </c>
      <c r="F7" s="372">
        <f>'Пункт 2.1.'!G23</f>
        <v>0.18374558303886926</v>
      </c>
      <c r="G7" s="230" t="s">
        <v>158</v>
      </c>
      <c r="H7" s="646"/>
    </row>
    <row r="8" spans="1:8" ht="45.75" customHeight="1">
      <c r="A8" s="374" t="s">
        <v>24</v>
      </c>
      <c r="B8" s="33" t="s">
        <v>25</v>
      </c>
      <c r="C8" s="373">
        <f>'Пункт 2.1.'!J8</f>
        <v>0.1629640176028993</v>
      </c>
      <c r="D8" s="373">
        <f>'Пункт 2.1.'!J13</f>
        <v>0.0851669686771939</v>
      </c>
      <c r="E8" s="373">
        <f>'Пункт 2.1.'!J18</f>
        <v>1.63791095003883</v>
      </c>
      <c r="F8" s="373">
        <f>'Пункт 2.1.'!J23</f>
        <v>0.18871343515402536</v>
      </c>
      <c r="G8" s="231" t="s">
        <v>158</v>
      </c>
      <c r="H8" s="647"/>
    </row>
    <row r="9" spans="1:2" ht="15">
      <c r="A9" s="2"/>
      <c r="B9" t="s">
        <v>54</v>
      </c>
    </row>
    <row r="10" spans="1:8" ht="15">
      <c r="A10" s="10"/>
      <c r="B10" s="10" t="s">
        <v>55</v>
      </c>
      <c r="C10" s="10"/>
      <c r="D10" s="10"/>
      <c r="E10" s="10"/>
      <c r="F10" s="10"/>
      <c r="G10" s="10"/>
      <c r="H10" s="10"/>
    </row>
    <row r="11" spans="1:8" ht="33" customHeight="1">
      <c r="A11" s="11"/>
      <c r="B11" s="600" t="s">
        <v>56</v>
      </c>
      <c r="C11" s="600"/>
      <c r="D11" s="600"/>
      <c r="E11" s="600"/>
      <c r="F11" s="600"/>
      <c r="G11" s="600"/>
      <c r="H11" s="600"/>
    </row>
    <row r="14" spans="1:5" ht="18.75">
      <c r="A14" s="643" t="s">
        <v>58</v>
      </c>
      <c r="B14" s="643"/>
      <c r="C14" s="643"/>
      <c r="D14" s="643"/>
      <c r="E14" s="643"/>
    </row>
    <row r="15" spans="1:5" ht="18.75">
      <c r="A15" s="18"/>
      <c r="B15" s="18"/>
      <c r="C15" s="18"/>
      <c r="D15" s="18"/>
      <c r="E15" s="18"/>
    </row>
    <row r="16" spans="1:5" ht="15.75">
      <c r="A16" s="15" t="s">
        <v>59</v>
      </c>
      <c r="B16" s="15" t="s">
        <v>383</v>
      </c>
      <c r="C16" s="12"/>
      <c r="D16" s="13"/>
      <c r="E16" s="13"/>
    </row>
    <row r="17" spans="1:5" ht="15.75">
      <c r="A17" s="14" t="s">
        <v>60</v>
      </c>
      <c r="B17" s="13" t="s">
        <v>384</v>
      </c>
      <c r="C17" s="13"/>
      <c r="D17" s="13"/>
      <c r="E17" s="13"/>
    </row>
  </sheetData>
  <sheetProtection/>
  <mergeCells count="12">
    <mergeCell ref="E3:E4"/>
    <mergeCell ref="F3:F4"/>
    <mergeCell ref="A14:E14"/>
    <mergeCell ref="H6:H8"/>
    <mergeCell ref="A1:H1"/>
    <mergeCell ref="B11:H11"/>
    <mergeCell ref="G3:G4"/>
    <mergeCell ref="H3:H4"/>
    <mergeCell ref="A3:A4"/>
    <mergeCell ref="B3:B4"/>
    <mergeCell ref="C3:C4"/>
    <mergeCell ref="D3:D4"/>
  </mergeCells>
  <printOptions/>
  <pageMargins left="0.7" right="0.7" top="0.75" bottom="0.75" header="0.3" footer="0.3"/>
  <pageSetup fitToHeight="0" fitToWidth="1" horizontalDpi="180" verticalDpi="18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workbookViewId="0" topLeftCell="A1">
      <selection activeCell="B10" sqref="B10:E10"/>
    </sheetView>
  </sheetViews>
  <sheetFormatPr defaultColWidth="9.140625" defaultRowHeight="15"/>
  <cols>
    <col min="1" max="1" width="6.7109375" style="396" customWidth="1"/>
    <col min="2" max="2" width="54.00390625" style="396" customWidth="1"/>
    <col min="3" max="3" width="10.7109375" style="396" customWidth="1"/>
    <col min="4" max="4" width="12.140625" style="396" customWidth="1"/>
    <col min="5" max="5" width="19.28125" style="396" customWidth="1"/>
    <col min="6" max="12" width="6.28125" style="396" customWidth="1"/>
    <col min="13" max="13" width="21.00390625" style="396" customWidth="1"/>
    <col min="14" max="14" width="15.140625" style="396" customWidth="1"/>
    <col min="15" max="16384" width="9.140625" style="396" customWidth="1"/>
  </cols>
  <sheetData>
    <row r="1" spans="1:14" ht="36.75" customHeight="1">
      <c r="A1" s="643" t="s">
        <v>991</v>
      </c>
      <c r="B1" s="643"/>
      <c r="C1" s="643"/>
      <c r="D1" s="643"/>
      <c r="E1" s="643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19.5" customHeight="1">
      <c r="A2" s="393"/>
      <c r="B2" s="394"/>
      <c r="C2" s="394"/>
      <c r="D2" s="394"/>
      <c r="E2" s="394"/>
      <c r="F2" s="395"/>
      <c r="G2" s="395"/>
      <c r="H2" s="395"/>
      <c r="I2" s="395"/>
      <c r="J2" s="395"/>
      <c r="K2" s="395"/>
      <c r="L2" s="395"/>
      <c r="M2" s="395"/>
      <c r="N2" s="395"/>
    </row>
    <row r="3" spans="1:5" ht="15.75" customHeight="1">
      <c r="A3" s="653" t="s">
        <v>992</v>
      </c>
      <c r="B3" s="653"/>
      <c r="C3" s="653"/>
      <c r="D3" s="653"/>
      <c r="E3" s="653"/>
    </row>
    <row r="4" spans="1:5" ht="33.75" customHeight="1">
      <c r="A4" s="653" t="s">
        <v>993</v>
      </c>
      <c r="B4" s="653"/>
      <c r="C4" s="653"/>
      <c r="D4" s="653"/>
      <c r="E4" s="653"/>
    </row>
    <row r="5" spans="1:5" ht="32.25" customHeight="1">
      <c r="A5" s="653" t="s">
        <v>994</v>
      </c>
      <c r="B5" s="653"/>
      <c r="C5" s="653"/>
      <c r="D5" s="653"/>
      <c r="E5" s="653"/>
    </row>
    <row r="6" spans="1:2" ht="15.75">
      <c r="A6" s="397" t="s">
        <v>219</v>
      </c>
      <c r="B6" s="396" t="s">
        <v>995</v>
      </c>
    </row>
    <row r="7" spans="1:2" ht="15.75">
      <c r="A7" s="397" t="s">
        <v>219</v>
      </c>
      <c r="B7" s="396" t="s">
        <v>996</v>
      </c>
    </row>
    <row r="8" spans="1:2" ht="15.75">
      <c r="A8" s="397" t="s">
        <v>219</v>
      </c>
      <c r="B8" s="396" t="s">
        <v>997</v>
      </c>
    </row>
    <row r="9" spans="1:5" ht="30.75" customHeight="1">
      <c r="A9" s="398" t="s">
        <v>219</v>
      </c>
      <c r="B9" s="653" t="s">
        <v>999</v>
      </c>
      <c r="C9" s="653"/>
      <c r="D9" s="653"/>
      <c r="E9" s="653"/>
    </row>
    <row r="10" spans="1:5" ht="30.75" customHeight="1">
      <c r="A10" s="398" t="s">
        <v>219</v>
      </c>
      <c r="B10" s="653" t="s">
        <v>998</v>
      </c>
      <c r="C10" s="653"/>
      <c r="D10" s="653"/>
      <c r="E10" s="653"/>
    </row>
    <row r="11" spans="1:5" ht="15.75">
      <c r="A11" s="398"/>
      <c r="B11" s="653"/>
      <c r="C11" s="653"/>
      <c r="D11" s="653"/>
      <c r="E11" s="653"/>
    </row>
    <row r="12" spans="1:5" ht="56.25" customHeight="1">
      <c r="A12" s="643" t="s">
        <v>1000</v>
      </c>
      <c r="B12" s="643"/>
      <c r="C12" s="643"/>
      <c r="D12" s="643"/>
      <c r="E12" s="643"/>
    </row>
    <row r="14" ht="15.75">
      <c r="A14" s="396" t="s">
        <v>1001</v>
      </c>
    </row>
  </sheetData>
  <sheetProtection/>
  <mergeCells count="8">
    <mergeCell ref="A1:E1"/>
    <mergeCell ref="B10:E10"/>
    <mergeCell ref="A12:E12"/>
    <mergeCell ref="B11:E11"/>
    <mergeCell ref="A4:E4"/>
    <mergeCell ref="A5:E5"/>
    <mergeCell ref="B9:E9"/>
    <mergeCell ref="A3:E3"/>
  </mergeCells>
  <printOptions/>
  <pageMargins left="0.3937007874015748" right="0.1968503937007874" top="0.7874015748031497" bottom="0.1968503937007874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M266"/>
  <sheetViews>
    <sheetView workbookViewId="0" topLeftCell="G1">
      <selection activeCell="I5" sqref="I5:I7"/>
    </sheetView>
  </sheetViews>
  <sheetFormatPr defaultColWidth="9.140625" defaultRowHeight="15"/>
  <cols>
    <col min="1" max="1" width="6.00390625" style="396" customWidth="1"/>
    <col min="2" max="2" width="15.140625" style="396" customWidth="1"/>
    <col min="3" max="3" width="15.7109375" style="396" customWidth="1"/>
    <col min="4" max="4" width="15.28125" style="396" customWidth="1"/>
    <col min="5" max="5" width="18.28125" style="396" customWidth="1"/>
    <col min="6" max="6" width="13.28125" style="396" customWidth="1"/>
    <col min="7" max="7" width="15.421875" style="396" customWidth="1"/>
    <col min="8" max="8" width="14.421875" style="396" customWidth="1"/>
    <col min="9" max="9" width="19.7109375" style="396" customWidth="1"/>
    <col min="10" max="10" width="12.57421875" style="404" customWidth="1"/>
    <col min="11" max="11" width="10.140625" style="396" customWidth="1"/>
    <col min="12" max="12" width="13.421875" style="396" customWidth="1"/>
    <col min="13" max="13" width="17.57421875" style="396" customWidth="1"/>
    <col min="14" max="16384" width="9.140625" style="396" customWidth="1"/>
  </cols>
  <sheetData>
    <row r="1" spans="1:16" ht="18.75" customHeight="1">
      <c r="A1" s="643" t="s">
        <v>764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</row>
    <row r="2" spans="1:3" ht="15.75">
      <c r="A2" s="403"/>
      <c r="B2" s="403"/>
      <c r="C2" s="403"/>
    </row>
    <row r="3" spans="1:16" ht="28.5" customHeight="1">
      <c r="A3" s="657" t="s">
        <v>765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1:16" ht="13.5" customHeight="1">
      <c r="A4" s="658" t="s">
        <v>766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</row>
    <row r="5" spans="1:16" ht="12" customHeight="1">
      <c r="A5" s="673" t="s">
        <v>767</v>
      </c>
      <c r="B5" s="666" t="s">
        <v>768</v>
      </c>
      <c r="C5" s="654" t="s">
        <v>769</v>
      </c>
      <c r="D5" s="655"/>
      <c r="E5" s="655"/>
      <c r="F5" s="676"/>
      <c r="G5" s="677" t="s">
        <v>770</v>
      </c>
      <c r="H5" s="677" t="s">
        <v>771</v>
      </c>
      <c r="I5" s="679" t="s">
        <v>772</v>
      </c>
      <c r="J5" s="674" t="s">
        <v>773</v>
      </c>
      <c r="K5" s="674"/>
      <c r="L5" s="674"/>
      <c r="M5" s="674"/>
      <c r="N5" s="677" t="s">
        <v>774</v>
      </c>
      <c r="O5" s="666" t="s">
        <v>775</v>
      </c>
      <c r="P5" s="666" t="s">
        <v>776</v>
      </c>
    </row>
    <row r="6" spans="1:16" ht="10.5" customHeight="1">
      <c r="A6" s="673"/>
      <c r="B6" s="666"/>
      <c r="C6" s="467"/>
      <c r="D6" s="468"/>
      <c r="E6" s="469"/>
      <c r="F6" s="470"/>
      <c r="G6" s="677"/>
      <c r="H6" s="677"/>
      <c r="I6" s="680"/>
      <c r="J6" s="668" t="s">
        <v>777</v>
      </c>
      <c r="K6" s="669"/>
      <c r="L6" s="670"/>
      <c r="M6" s="671" t="s">
        <v>778</v>
      </c>
      <c r="N6" s="677"/>
      <c r="O6" s="666"/>
      <c r="P6" s="666"/>
    </row>
    <row r="7" spans="1:16" s="30" customFormat="1" ht="55.5" customHeight="1">
      <c r="A7" s="674"/>
      <c r="B7" s="675"/>
      <c r="C7" s="471" t="s">
        <v>779</v>
      </c>
      <c r="D7" s="471" t="s">
        <v>713</v>
      </c>
      <c r="E7" s="472" t="s">
        <v>780</v>
      </c>
      <c r="F7" s="473" t="s">
        <v>781</v>
      </c>
      <c r="G7" s="678"/>
      <c r="H7" s="678"/>
      <c r="I7" s="681"/>
      <c r="J7" s="466" t="s">
        <v>702</v>
      </c>
      <c r="K7" s="466" t="s">
        <v>529</v>
      </c>
      <c r="L7" s="466" t="s">
        <v>782</v>
      </c>
      <c r="M7" s="672"/>
      <c r="N7" s="678"/>
      <c r="O7" s="667"/>
      <c r="P7" s="667"/>
    </row>
    <row r="8" spans="1:16" s="30" customFormat="1" ht="10.5" customHeight="1">
      <c r="A8" s="654" t="s">
        <v>783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474"/>
    </row>
    <row r="9" spans="1:16" s="481" customFormat="1" ht="13.5" customHeight="1">
      <c r="A9" s="475">
        <v>1</v>
      </c>
      <c r="B9" s="476" t="str">
        <f>'[1]ПС 41'!$B$5</f>
        <v>КТП15</v>
      </c>
      <c r="C9" s="476" t="s">
        <v>784</v>
      </c>
      <c r="D9" s="476">
        <v>10</v>
      </c>
      <c r="E9" s="476">
        <v>320</v>
      </c>
      <c r="F9" s="476">
        <f aca="true" t="shared" si="0" ref="F9:F32">E9*0.85</f>
        <v>272</v>
      </c>
      <c r="G9" s="477">
        <f>E9/(1.73*D9)</f>
        <v>18.497109826589593</v>
      </c>
      <c r="H9" s="478">
        <f aca="true" t="shared" si="1" ref="H9:H32">1.73*D9*0.9*M9/0.7</f>
        <v>0</v>
      </c>
      <c r="I9" s="479">
        <f>H9</f>
        <v>0</v>
      </c>
      <c r="J9" s="480">
        <v>0</v>
      </c>
      <c r="K9" s="480">
        <v>0</v>
      </c>
      <c r="L9" s="480">
        <v>0</v>
      </c>
      <c r="M9" s="478">
        <f aca="true" t="shared" si="2" ref="M9:M32">(J9+K9+L9)/3/25</f>
        <v>0</v>
      </c>
      <c r="N9" s="478">
        <f aca="true" t="shared" si="3" ref="N9:N32">M9/G9</f>
        <v>0</v>
      </c>
      <c r="O9" s="480">
        <f>F9-H9</f>
        <v>272</v>
      </c>
      <c r="P9" s="479">
        <f aca="true" t="shared" si="4" ref="P9:P14">O9/0.85</f>
        <v>320</v>
      </c>
    </row>
    <row r="10" spans="1:16" s="481" customFormat="1" ht="13.5" customHeight="1">
      <c r="A10" s="475">
        <v>2</v>
      </c>
      <c r="B10" s="476" t="s">
        <v>785</v>
      </c>
      <c r="C10" s="476" t="s">
        <v>784</v>
      </c>
      <c r="D10" s="476">
        <v>10</v>
      </c>
      <c r="E10" s="476">
        <v>400</v>
      </c>
      <c r="F10" s="476">
        <f t="shared" si="0"/>
        <v>340</v>
      </c>
      <c r="G10" s="477">
        <f aca="true" t="shared" si="5" ref="G10:G73">E10/(1.73*D10)</f>
        <v>23.12138728323699</v>
      </c>
      <c r="H10" s="478">
        <f t="shared" si="1"/>
        <v>45.07885714285714</v>
      </c>
      <c r="I10" s="479">
        <v>26</v>
      </c>
      <c r="J10" s="480">
        <v>49</v>
      </c>
      <c r="K10" s="480">
        <v>50</v>
      </c>
      <c r="L10" s="480">
        <v>53</v>
      </c>
      <c r="M10" s="478">
        <f t="shared" si="2"/>
        <v>2.0266666666666664</v>
      </c>
      <c r="N10" s="478">
        <f t="shared" si="3"/>
        <v>0.08765333333333333</v>
      </c>
      <c r="O10" s="480">
        <f>F10-H10</f>
        <v>294.92114285714285</v>
      </c>
      <c r="P10" s="479">
        <f t="shared" si="4"/>
        <v>346.9660504201681</v>
      </c>
    </row>
    <row r="11" spans="1:16" s="481" customFormat="1" ht="13.5" customHeight="1">
      <c r="A11" s="475">
        <v>3</v>
      </c>
      <c r="B11" s="476" t="s">
        <v>786</v>
      </c>
      <c r="C11" s="476" t="s">
        <v>784</v>
      </c>
      <c r="D11" s="476">
        <v>10</v>
      </c>
      <c r="E11" s="476">
        <v>250</v>
      </c>
      <c r="F11" s="476">
        <f t="shared" si="0"/>
        <v>212.5</v>
      </c>
      <c r="G11" s="477">
        <f t="shared" si="5"/>
        <v>14.45086705202312</v>
      </c>
      <c r="H11" s="478">
        <f t="shared" si="1"/>
        <v>40.03714285714286</v>
      </c>
      <c r="I11" s="479">
        <v>50</v>
      </c>
      <c r="J11" s="480">
        <v>55</v>
      </c>
      <c r="K11" s="480">
        <v>45</v>
      </c>
      <c r="L11" s="480">
        <v>35</v>
      </c>
      <c r="M11" s="478">
        <f t="shared" si="2"/>
        <v>1.8</v>
      </c>
      <c r="N11" s="478">
        <f t="shared" si="3"/>
        <v>0.12456</v>
      </c>
      <c r="O11" s="480">
        <f>F11-H11</f>
        <v>172.46285714285713</v>
      </c>
      <c r="P11" s="480">
        <f t="shared" si="4"/>
        <v>202.89747899159664</v>
      </c>
    </row>
    <row r="12" spans="1:16" s="481" customFormat="1" ht="13.5" customHeight="1">
      <c r="A12" s="475">
        <v>4</v>
      </c>
      <c r="B12" s="476" t="s">
        <v>787</v>
      </c>
      <c r="C12" s="476" t="s">
        <v>784</v>
      </c>
      <c r="D12" s="476">
        <v>10</v>
      </c>
      <c r="E12" s="476">
        <v>100</v>
      </c>
      <c r="F12" s="476">
        <f t="shared" si="0"/>
        <v>85</v>
      </c>
      <c r="G12" s="477">
        <f t="shared" si="5"/>
        <v>5.780346820809248</v>
      </c>
      <c r="H12" s="478">
        <f t="shared" si="1"/>
        <v>32.32628571428572</v>
      </c>
      <c r="I12" s="479">
        <f>H12</f>
        <v>32.32628571428572</v>
      </c>
      <c r="J12" s="480">
        <v>34</v>
      </c>
      <c r="K12" s="480">
        <v>46</v>
      </c>
      <c r="L12" s="480">
        <v>29</v>
      </c>
      <c r="M12" s="478">
        <f t="shared" si="2"/>
        <v>1.4533333333333334</v>
      </c>
      <c r="N12" s="478">
        <f t="shared" si="3"/>
        <v>0.2514266666666667</v>
      </c>
      <c r="O12" s="480">
        <f>F12-H12</f>
        <v>52.67371428571428</v>
      </c>
      <c r="P12" s="480">
        <f t="shared" si="4"/>
        <v>61.9690756302521</v>
      </c>
    </row>
    <row r="13" spans="1:16" s="481" customFormat="1" ht="13.5" customHeight="1">
      <c r="A13" s="475">
        <v>5</v>
      </c>
      <c r="B13" s="476" t="s">
        <v>788</v>
      </c>
      <c r="C13" s="476" t="s">
        <v>784</v>
      </c>
      <c r="D13" s="476">
        <v>10</v>
      </c>
      <c r="E13" s="476">
        <v>250</v>
      </c>
      <c r="F13" s="476">
        <f t="shared" si="0"/>
        <v>212.5</v>
      </c>
      <c r="G13" s="477">
        <f t="shared" si="5"/>
        <v>14.45086705202312</v>
      </c>
      <c r="H13" s="478">
        <f t="shared" si="1"/>
        <v>10.379999999999999</v>
      </c>
      <c r="I13" s="479">
        <f>H13</f>
        <v>10.379999999999999</v>
      </c>
      <c r="J13" s="480">
        <v>13</v>
      </c>
      <c r="K13" s="480">
        <v>12</v>
      </c>
      <c r="L13" s="480">
        <v>10</v>
      </c>
      <c r="M13" s="478">
        <f t="shared" si="2"/>
        <v>0.4666666666666666</v>
      </c>
      <c r="N13" s="478">
        <f t="shared" si="3"/>
        <v>0.032293333333333334</v>
      </c>
      <c r="O13" s="480">
        <f>F13-H13</f>
        <v>202.12</v>
      </c>
      <c r="P13" s="480">
        <f t="shared" si="4"/>
        <v>237.78823529411767</v>
      </c>
    </row>
    <row r="14" spans="1:16" s="481" customFormat="1" ht="13.5" customHeight="1">
      <c r="A14" s="475">
        <v>6</v>
      </c>
      <c r="B14" s="659" t="s">
        <v>789</v>
      </c>
      <c r="C14" s="476" t="s">
        <v>790</v>
      </c>
      <c r="D14" s="476">
        <v>10</v>
      </c>
      <c r="E14" s="476">
        <v>250</v>
      </c>
      <c r="F14" s="476">
        <f t="shared" si="0"/>
        <v>212.5</v>
      </c>
      <c r="G14" s="477">
        <f t="shared" si="5"/>
        <v>14.45086705202312</v>
      </c>
      <c r="H14" s="478">
        <f t="shared" si="1"/>
        <v>8.304</v>
      </c>
      <c r="I14" s="661">
        <f>H14+H15</f>
        <v>25.80171428571429</v>
      </c>
      <c r="J14" s="480">
        <v>6</v>
      </c>
      <c r="K14" s="480">
        <v>12</v>
      </c>
      <c r="L14" s="480">
        <v>10</v>
      </c>
      <c r="M14" s="478">
        <f t="shared" si="2"/>
        <v>0.37333333333333335</v>
      </c>
      <c r="N14" s="478">
        <f t="shared" si="3"/>
        <v>0.02583466666666667</v>
      </c>
      <c r="O14" s="661">
        <f>F14-I14</f>
        <v>186.6982857142857</v>
      </c>
      <c r="P14" s="661">
        <f t="shared" si="4"/>
        <v>219.6450420168067</v>
      </c>
    </row>
    <row r="15" spans="1:16" s="481" customFormat="1" ht="13.5" customHeight="1">
      <c r="A15" s="475">
        <v>7</v>
      </c>
      <c r="B15" s="660"/>
      <c r="C15" s="476" t="s">
        <v>791</v>
      </c>
      <c r="D15" s="476">
        <v>10</v>
      </c>
      <c r="E15" s="476">
        <v>250</v>
      </c>
      <c r="F15" s="476">
        <f t="shared" si="0"/>
        <v>212.5</v>
      </c>
      <c r="G15" s="477">
        <f t="shared" si="5"/>
        <v>14.45086705202312</v>
      </c>
      <c r="H15" s="478">
        <f t="shared" si="1"/>
        <v>17.497714285714288</v>
      </c>
      <c r="I15" s="662"/>
      <c r="J15" s="480">
        <v>35</v>
      </c>
      <c r="K15" s="480">
        <v>19</v>
      </c>
      <c r="L15" s="480">
        <v>5</v>
      </c>
      <c r="M15" s="478">
        <f t="shared" si="2"/>
        <v>0.7866666666666667</v>
      </c>
      <c r="N15" s="478">
        <f t="shared" si="3"/>
        <v>0.054437333333333345</v>
      </c>
      <c r="O15" s="662"/>
      <c r="P15" s="662"/>
    </row>
    <row r="16" spans="1:16" s="481" customFormat="1" ht="13.5" customHeight="1">
      <c r="A16" s="475">
        <v>8</v>
      </c>
      <c r="B16" s="659" t="s">
        <v>792</v>
      </c>
      <c r="C16" s="476" t="s">
        <v>790</v>
      </c>
      <c r="D16" s="476">
        <v>10</v>
      </c>
      <c r="E16" s="476">
        <v>400</v>
      </c>
      <c r="F16" s="476">
        <f t="shared" si="0"/>
        <v>340</v>
      </c>
      <c r="G16" s="477">
        <f t="shared" si="5"/>
        <v>23.12138728323699</v>
      </c>
      <c r="H16" s="478">
        <f t="shared" si="1"/>
        <v>3.2622857142857145</v>
      </c>
      <c r="I16" s="661">
        <f>H16+H17</f>
        <v>7.414285714285715</v>
      </c>
      <c r="J16" s="480">
        <v>3</v>
      </c>
      <c r="K16" s="480">
        <v>3</v>
      </c>
      <c r="L16" s="480">
        <v>5</v>
      </c>
      <c r="M16" s="478">
        <f t="shared" si="2"/>
        <v>0.14666666666666667</v>
      </c>
      <c r="N16" s="478">
        <f t="shared" si="3"/>
        <v>0.0063433333333333345</v>
      </c>
      <c r="O16" s="661">
        <f>F16-I16</f>
        <v>332.5857142857143</v>
      </c>
      <c r="P16" s="661">
        <f>O16/0.85</f>
        <v>391.2773109243698</v>
      </c>
    </row>
    <row r="17" spans="1:16" s="481" customFormat="1" ht="13.5" customHeight="1">
      <c r="A17" s="475">
        <v>9</v>
      </c>
      <c r="B17" s="660"/>
      <c r="C17" s="476" t="s">
        <v>791</v>
      </c>
      <c r="D17" s="476">
        <v>10</v>
      </c>
      <c r="E17" s="476">
        <v>400</v>
      </c>
      <c r="F17" s="483">
        <f t="shared" si="0"/>
        <v>340</v>
      </c>
      <c r="G17" s="477">
        <f t="shared" si="5"/>
        <v>23.12138728323699</v>
      </c>
      <c r="H17" s="478">
        <f t="shared" si="1"/>
        <v>4.152</v>
      </c>
      <c r="I17" s="662"/>
      <c r="J17" s="480">
        <v>10</v>
      </c>
      <c r="K17" s="480">
        <v>2</v>
      </c>
      <c r="L17" s="480">
        <v>2</v>
      </c>
      <c r="M17" s="478">
        <f t="shared" si="2"/>
        <v>0.18666666666666668</v>
      </c>
      <c r="N17" s="478">
        <f t="shared" si="3"/>
        <v>0.008073333333333335</v>
      </c>
      <c r="O17" s="662"/>
      <c r="P17" s="662"/>
    </row>
    <row r="18" spans="1:16" s="481" customFormat="1" ht="13.5" customHeight="1">
      <c r="A18" s="475">
        <v>10</v>
      </c>
      <c r="B18" s="659" t="s">
        <v>715</v>
      </c>
      <c r="C18" s="476" t="s">
        <v>790</v>
      </c>
      <c r="D18" s="476">
        <v>10</v>
      </c>
      <c r="E18" s="476">
        <v>400</v>
      </c>
      <c r="F18" s="483">
        <f t="shared" si="0"/>
        <v>340</v>
      </c>
      <c r="G18" s="477">
        <f t="shared" si="5"/>
        <v>23.12138728323699</v>
      </c>
      <c r="H18" s="478">
        <f t="shared" si="1"/>
        <v>51.30685714285715</v>
      </c>
      <c r="I18" s="661">
        <f>H18+H19</f>
        <v>92.23371428571429</v>
      </c>
      <c r="J18" s="480">
        <v>50</v>
      </c>
      <c r="K18" s="480">
        <v>61</v>
      </c>
      <c r="L18" s="480">
        <v>62</v>
      </c>
      <c r="M18" s="478">
        <f t="shared" si="2"/>
        <v>2.3066666666666666</v>
      </c>
      <c r="N18" s="478">
        <f t="shared" si="3"/>
        <v>0.09976333333333334</v>
      </c>
      <c r="O18" s="661">
        <f>F18-I18</f>
        <v>247.76628571428571</v>
      </c>
      <c r="P18" s="661">
        <f>O18/0.85</f>
        <v>291.4897478991597</v>
      </c>
    </row>
    <row r="19" spans="1:16" s="481" customFormat="1" ht="13.5" customHeight="1">
      <c r="A19" s="475">
        <v>11</v>
      </c>
      <c r="B19" s="660"/>
      <c r="C19" s="476" t="s">
        <v>791</v>
      </c>
      <c r="D19" s="476">
        <v>10</v>
      </c>
      <c r="E19" s="476">
        <v>400</v>
      </c>
      <c r="F19" s="483">
        <f t="shared" si="0"/>
        <v>340</v>
      </c>
      <c r="G19" s="477">
        <f t="shared" si="5"/>
        <v>23.12138728323699</v>
      </c>
      <c r="H19" s="478">
        <f t="shared" si="1"/>
        <v>40.926857142857145</v>
      </c>
      <c r="I19" s="662"/>
      <c r="J19" s="480">
        <v>51</v>
      </c>
      <c r="K19" s="480">
        <v>43</v>
      </c>
      <c r="L19" s="480">
        <v>44</v>
      </c>
      <c r="M19" s="478">
        <f t="shared" si="2"/>
        <v>1.84</v>
      </c>
      <c r="N19" s="478">
        <f t="shared" si="3"/>
        <v>0.07958000000000001</v>
      </c>
      <c r="O19" s="662"/>
      <c r="P19" s="662"/>
    </row>
    <row r="20" spans="1:16" s="481" customFormat="1" ht="13.5" customHeight="1">
      <c r="A20" s="475">
        <v>12</v>
      </c>
      <c r="B20" s="659" t="s">
        <v>793</v>
      </c>
      <c r="C20" s="476" t="s">
        <v>790</v>
      </c>
      <c r="D20" s="476">
        <v>10</v>
      </c>
      <c r="E20" s="476">
        <v>400</v>
      </c>
      <c r="F20" s="483">
        <f t="shared" si="0"/>
        <v>340</v>
      </c>
      <c r="G20" s="477">
        <f t="shared" si="5"/>
        <v>23.12138728323699</v>
      </c>
      <c r="H20" s="478">
        <f t="shared" si="1"/>
        <v>84.22628571428572</v>
      </c>
      <c r="I20" s="661">
        <f>H20+H21</f>
        <v>115.0697142857143</v>
      </c>
      <c r="J20" s="480">
        <v>76</v>
      </c>
      <c r="K20" s="480">
        <v>105</v>
      </c>
      <c r="L20" s="480">
        <v>103</v>
      </c>
      <c r="M20" s="478">
        <f t="shared" si="2"/>
        <v>3.786666666666667</v>
      </c>
      <c r="N20" s="478">
        <f t="shared" si="3"/>
        <v>0.16377333333333338</v>
      </c>
      <c r="O20" s="661">
        <f>F20-I20</f>
        <v>224.9302857142857</v>
      </c>
      <c r="P20" s="661">
        <f>O20/0.85</f>
        <v>264.6238655462185</v>
      </c>
    </row>
    <row r="21" spans="1:16" s="481" customFormat="1" ht="17.25" customHeight="1">
      <c r="A21" s="475">
        <v>13</v>
      </c>
      <c r="B21" s="660"/>
      <c r="C21" s="476" t="s">
        <v>791</v>
      </c>
      <c r="D21" s="476">
        <v>10</v>
      </c>
      <c r="E21" s="476">
        <v>400</v>
      </c>
      <c r="F21" s="483">
        <f t="shared" si="0"/>
        <v>340</v>
      </c>
      <c r="G21" s="477">
        <f t="shared" si="5"/>
        <v>23.12138728323699</v>
      </c>
      <c r="H21" s="478">
        <f t="shared" si="1"/>
        <v>30.84342857142857</v>
      </c>
      <c r="I21" s="662"/>
      <c r="J21" s="480">
        <v>30</v>
      </c>
      <c r="K21" s="480">
        <v>29</v>
      </c>
      <c r="L21" s="480">
        <v>45</v>
      </c>
      <c r="M21" s="478">
        <f t="shared" si="2"/>
        <v>1.3866666666666665</v>
      </c>
      <c r="N21" s="478">
        <f t="shared" si="3"/>
        <v>0.05997333333333333</v>
      </c>
      <c r="O21" s="662"/>
      <c r="P21" s="662"/>
    </row>
    <row r="22" spans="1:16" s="481" customFormat="1" ht="13.5" customHeight="1">
      <c r="A22" s="475">
        <v>14</v>
      </c>
      <c r="B22" s="659" t="s">
        <v>714</v>
      </c>
      <c r="C22" s="476" t="s">
        <v>794</v>
      </c>
      <c r="D22" s="476">
        <v>10</v>
      </c>
      <c r="E22" s="476">
        <v>320</v>
      </c>
      <c r="F22" s="483">
        <f t="shared" si="0"/>
        <v>272</v>
      </c>
      <c r="G22" s="477">
        <f t="shared" si="5"/>
        <v>18.497109826589593</v>
      </c>
      <c r="H22" s="478">
        <f t="shared" si="1"/>
        <v>71.47371428571428</v>
      </c>
      <c r="I22" s="661">
        <f>H22+H23</f>
        <v>207.30342857142858</v>
      </c>
      <c r="J22" s="480">
        <v>80</v>
      </c>
      <c r="K22" s="480">
        <v>89</v>
      </c>
      <c r="L22" s="480">
        <v>72</v>
      </c>
      <c r="M22" s="478">
        <f t="shared" si="2"/>
        <v>3.213333333333333</v>
      </c>
      <c r="N22" s="478">
        <f t="shared" si="3"/>
        <v>0.17372083333333332</v>
      </c>
      <c r="O22" s="661">
        <f>F22-I22</f>
        <v>64.69657142857142</v>
      </c>
      <c r="P22" s="661">
        <f>O22/0.85</f>
        <v>76.11361344537814</v>
      </c>
    </row>
    <row r="23" spans="1:16" s="481" customFormat="1" ht="13.5" customHeight="1">
      <c r="A23" s="475">
        <v>15</v>
      </c>
      <c r="B23" s="660"/>
      <c r="C23" s="476" t="s">
        <v>795</v>
      </c>
      <c r="D23" s="476">
        <v>10</v>
      </c>
      <c r="E23" s="476">
        <v>320</v>
      </c>
      <c r="F23" s="483">
        <f t="shared" si="0"/>
        <v>272</v>
      </c>
      <c r="G23" s="477">
        <f t="shared" si="5"/>
        <v>18.497109826589593</v>
      </c>
      <c r="H23" s="478">
        <f t="shared" si="1"/>
        <v>135.8297142857143</v>
      </c>
      <c r="I23" s="662"/>
      <c r="J23" s="480">
        <v>143</v>
      </c>
      <c r="K23" s="480">
        <v>146</v>
      </c>
      <c r="L23" s="480">
        <v>169</v>
      </c>
      <c r="M23" s="478">
        <f t="shared" si="2"/>
        <v>6.1066666666666665</v>
      </c>
      <c r="N23" s="478">
        <f t="shared" si="3"/>
        <v>0.33014166666666667</v>
      </c>
      <c r="O23" s="662"/>
      <c r="P23" s="662"/>
    </row>
    <row r="24" spans="1:16" s="481" customFormat="1" ht="13.5" customHeight="1">
      <c r="A24" s="475">
        <v>16</v>
      </c>
      <c r="B24" s="659" t="s">
        <v>716</v>
      </c>
      <c r="C24" s="476" t="s">
        <v>794</v>
      </c>
      <c r="D24" s="476">
        <v>10</v>
      </c>
      <c r="E24" s="476">
        <v>320</v>
      </c>
      <c r="F24" s="483">
        <f t="shared" si="0"/>
        <v>272</v>
      </c>
      <c r="G24" s="477">
        <f t="shared" si="5"/>
        <v>18.497109826589593</v>
      </c>
      <c r="H24" s="478">
        <f t="shared" si="1"/>
        <v>56.05200000000001</v>
      </c>
      <c r="I24" s="661">
        <f>H24+H25</f>
        <v>107.32920000000001</v>
      </c>
      <c r="J24" s="480">
        <v>64</v>
      </c>
      <c r="K24" s="480">
        <v>64</v>
      </c>
      <c r="L24" s="480">
        <v>61</v>
      </c>
      <c r="M24" s="478">
        <f t="shared" si="2"/>
        <v>2.52</v>
      </c>
      <c r="N24" s="478">
        <f t="shared" si="3"/>
        <v>0.1362375</v>
      </c>
      <c r="O24" s="661">
        <f>F24-I24</f>
        <v>164.67079999999999</v>
      </c>
      <c r="P24" s="661">
        <f>O24/0.85</f>
        <v>193.73035294117645</v>
      </c>
    </row>
    <row r="25" spans="1:16" s="481" customFormat="1" ht="13.5" customHeight="1">
      <c r="A25" s="475">
        <v>17</v>
      </c>
      <c r="B25" s="660"/>
      <c r="C25" s="476" t="s">
        <v>795</v>
      </c>
      <c r="D25" s="476">
        <v>10</v>
      </c>
      <c r="E25" s="476">
        <v>400</v>
      </c>
      <c r="F25" s="483">
        <f t="shared" si="0"/>
        <v>340</v>
      </c>
      <c r="G25" s="477">
        <f t="shared" si="5"/>
        <v>23.12138728323699</v>
      </c>
      <c r="H25" s="478">
        <f t="shared" si="1"/>
        <v>51.27720000000001</v>
      </c>
      <c r="I25" s="662"/>
      <c r="J25" s="480">
        <v>51</v>
      </c>
      <c r="K25" s="480">
        <v>40</v>
      </c>
      <c r="L25" s="480">
        <v>81.9</v>
      </c>
      <c r="M25" s="478">
        <f t="shared" si="2"/>
        <v>2.3053333333333335</v>
      </c>
      <c r="N25" s="478">
        <f t="shared" si="3"/>
        <v>0.09970566666666668</v>
      </c>
      <c r="O25" s="662"/>
      <c r="P25" s="662"/>
    </row>
    <row r="26" spans="1:16" s="481" customFormat="1" ht="13.5" customHeight="1">
      <c r="A26" s="475">
        <v>18</v>
      </c>
      <c r="B26" s="659" t="s">
        <v>717</v>
      </c>
      <c r="C26" s="476" t="s">
        <v>794</v>
      </c>
      <c r="D26" s="476">
        <v>10</v>
      </c>
      <c r="E26" s="476">
        <v>250</v>
      </c>
      <c r="F26" s="483">
        <f t="shared" si="0"/>
        <v>212.5</v>
      </c>
      <c r="G26" s="477">
        <f t="shared" si="5"/>
        <v>14.45086705202312</v>
      </c>
      <c r="H26" s="478">
        <f t="shared" si="1"/>
        <v>20.107542857142857</v>
      </c>
      <c r="I26" s="661">
        <f>H26+H27</f>
        <v>20.107542857142857</v>
      </c>
      <c r="J26" s="480">
        <v>21.9</v>
      </c>
      <c r="K26" s="480">
        <v>26.9</v>
      </c>
      <c r="L26" s="480">
        <v>19</v>
      </c>
      <c r="M26" s="478">
        <f t="shared" si="2"/>
        <v>0.9039999999999999</v>
      </c>
      <c r="N26" s="478">
        <f t="shared" si="3"/>
        <v>0.0625568</v>
      </c>
      <c r="O26" s="661">
        <f>F26-I26</f>
        <v>192.39245714285715</v>
      </c>
      <c r="P26" s="661">
        <f>O26/0.85</f>
        <v>226.3440672268908</v>
      </c>
    </row>
    <row r="27" spans="1:16" s="481" customFormat="1" ht="13.5" customHeight="1">
      <c r="A27" s="475">
        <v>19</v>
      </c>
      <c r="B27" s="660"/>
      <c r="C27" s="476" t="s">
        <v>795</v>
      </c>
      <c r="D27" s="476">
        <v>10</v>
      </c>
      <c r="E27" s="476">
        <v>250</v>
      </c>
      <c r="F27" s="483">
        <f t="shared" si="0"/>
        <v>212.5</v>
      </c>
      <c r="G27" s="477">
        <f t="shared" si="5"/>
        <v>14.45086705202312</v>
      </c>
      <c r="H27" s="478">
        <f t="shared" si="1"/>
        <v>0</v>
      </c>
      <c r="I27" s="662"/>
      <c r="J27" s="480">
        <v>0</v>
      </c>
      <c r="K27" s="480">
        <v>0</v>
      </c>
      <c r="L27" s="480">
        <v>0</v>
      </c>
      <c r="M27" s="478">
        <f t="shared" si="2"/>
        <v>0</v>
      </c>
      <c r="N27" s="478">
        <f t="shared" si="3"/>
        <v>0</v>
      </c>
      <c r="O27" s="662"/>
      <c r="P27" s="662"/>
    </row>
    <row r="28" spans="1:16" s="481" customFormat="1" ht="13.5" customHeight="1">
      <c r="A28" s="475">
        <v>20</v>
      </c>
      <c r="B28" s="476" t="s">
        <v>796</v>
      </c>
      <c r="C28" s="476" t="s">
        <v>784</v>
      </c>
      <c r="D28" s="476">
        <v>10</v>
      </c>
      <c r="E28" s="476">
        <v>250</v>
      </c>
      <c r="F28" s="483">
        <f t="shared" si="0"/>
        <v>212.5</v>
      </c>
      <c r="G28" s="477">
        <f t="shared" si="5"/>
        <v>14.45086705202312</v>
      </c>
      <c r="H28" s="478">
        <f t="shared" si="1"/>
        <v>13.049142857142858</v>
      </c>
      <c r="I28" s="479">
        <f>H28</f>
        <v>13.049142857142858</v>
      </c>
      <c r="J28" s="480">
        <v>15</v>
      </c>
      <c r="K28" s="480">
        <v>18</v>
      </c>
      <c r="L28" s="480">
        <v>11</v>
      </c>
      <c r="M28" s="478">
        <f t="shared" si="2"/>
        <v>0.5866666666666667</v>
      </c>
      <c r="N28" s="478">
        <f t="shared" si="3"/>
        <v>0.04059733333333333</v>
      </c>
      <c r="O28" s="480">
        <f>F28-H28</f>
        <v>199.45085714285713</v>
      </c>
      <c r="P28" s="480">
        <f>O28/0.85</f>
        <v>234.64806722689076</v>
      </c>
    </row>
    <row r="29" spans="1:16" s="481" customFormat="1" ht="13.5" customHeight="1">
      <c r="A29" s="475">
        <v>21</v>
      </c>
      <c r="B29" s="476" t="s">
        <v>797</v>
      </c>
      <c r="C29" s="476" t="s">
        <v>784</v>
      </c>
      <c r="D29" s="476">
        <v>10</v>
      </c>
      <c r="E29" s="476">
        <v>250</v>
      </c>
      <c r="F29" s="483">
        <f t="shared" si="0"/>
        <v>212.5</v>
      </c>
      <c r="G29" s="477">
        <f t="shared" si="5"/>
        <v>14.45086705202312</v>
      </c>
      <c r="H29" s="478">
        <f t="shared" si="1"/>
        <v>7.710857142857143</v>
      </c>
      <c r="I29" s="479">
        <f>H29</f>
        <v>7.710857142857143</v>
      </c>
      <c r="J29" s="480">
        <v>14</v>
      </c>
      <c r="K29" s="480">
        <v>5</v>
      </c>
      <c r="L29" s="480">
        <v>7</v>
      </c>
      <c r="M29" s="478">
        <f t="shared" si="2"/>
        <v>0.3466666666666666</v>
      </c>
      <c r="N29" s="478">
        <f t="shared" si="3"/>
        <v>0.02398933333333333</v>
      </c>
      <c r="O29" s="480">
        <f>F29-H29</f>
        <v>204.78914285714285</v>
      </c>
      <c r="P29" s="480">
        <f>O29/0.85</f>
        <v>240.92840336134452</v>
      </c>
    </row>
    <row r="30" spans="1:16" s="481" customFormat="1" ht="13.5" customHeight="1">
      <c r="A30" s="475">
        <v>22</v>
      </c>
      <c r="B30" s="476" t="s">
        <v>798</v>
      </c>
      <c r="C30" s="476" t="s">
        <v>784</v>
      </c>
      <c r="D30" s="476">
        <v>10</v>
      </c>
      <c r="E30" s="476">
        <v>250</v>
      </c>
      <c r="F30" s="483">
        <f t="shared" si="0"/>
        <v>212.5</v>
      </c>
      <c r="G30" s="477">
        <f t="shared" si="5"/>
        <v>14.45086705202312</v>
      </c>
      <c r="H30" s="478">
        <f t="shared" si="1"/>
        <v>25.20857142857143</v>
      </c>
      <c r="I30" s="479">
        <f>H30</f>
        <v>25.20857142857143</v>
      </c>
      <c r="J30" s="480">
        <v>19</v>
      </c>
      <c r="K30" s="480">
        <v>40</v>
      </c>
      <c r="L30" s="480">
        <v>26</v>
      </c>
      <c r="M30" s="478">
        <f t="shared" si="2"/>
        <v>1.1333333333333333</v>
      </c>
      <c r="N30" s="478">
        <f t="shared" si="3"/>
        <v>0.07842666666666667</v>
      </c>
      <c r="O30" s="480">
        <f>F30-H30</f>
        <v>187.29142857142858</v>
      </c>
      <c r="P30" s="480">
        <f>O30/0.85</f>
        <v>220.34285714285716</v>
      </c>
    </row>
    <row r="31" spans="1:16" s="481" customFormat="1" ht="13.5" customHeight="1">
      <c r="A31" s="475">
        <v>23</v>
      </c>
      <c r="B31" s="476" t="s">
        <v>799</v>
      </c>
      <c r="C31" s="476" t="s">
        <v>784</v>
      </c>
      <c r="D31" s="476">
        <v>10</v>
      </c>
      <c r="E31" s="476">
        <v>250</v>
      </c>
      <c r="F31" s="483">
        <f t="shared" si="0"/>
        <v>212.5</v>
      </c>
      <c r="G31" s="477">
        <f t="shared" si="5"/>
        <v>14.45086705202312</v>
      </c>
      <c r="H31" s="478">
        <f t="shared" si="1"/>
        <v>16.014857142857142</v>
      </c>
      <c r="I31" s="479">
        <f>H31</f>
        <v>16.014857142857142</v>
      </c>
      <c r="J31" s="480">
        <v>17</v>
      </c>
      <c r="K31" s="480">
        <v>14</v>
      </c>
      <c r="L31" s="480">
        <v>23</v>
      </c>
      <c r="M31" s="478">
        <f t="shared" si="2"/>
        <v>0.72</v>
      </c>
      <c r="N31" s="478">
        <f t="shared" si="3"/>
        <v>0.049824</v>
      </c>
      <c r="O31" s="480">
        <f>F31-H31</f>
        <v>196.48514285714285</v>
      </c>
      <c r="P31" s="480">
        <f>O31/0.85</f>
        <v>231.15899159663866</v>
      </c>
    </row>
    <row r="32" spans="1:16" s="481" customFormat="1" ht="13.5" customHeight="1">
      <c r="A32" s="475">
        <v>24</v>
      </c>
      <c r="B32" s="476" t="s">
        <v>800</v>
      </c>
      <c r="C32" s="476" t="s">
        <v>784</v>
      </c>
      <c r="D32" s="476">
        <v>10</v>
      </c>
      <c r="E32" s="476">
        <v>250</v>
      </c>
      <c r="F32" s="483">
        <f t="shared" si="0"/>
        <v>212.5</v>
      </c>
      <c r="G32" s="477">
        <f t="shared" si="5"/>
        <v>14.45086705202312</v>
      </c>
      <c r="H32" s="478">
        <f t="shared" si="1"/>
        <v>21.649714285714285</v>
      </c>
      <c r="I32" s="479">
        <f>H32</f>
        <v>21.649714285714285</v>
      </c>
      <c r="J32" s="480">
        <v>34</v>
      </c>
      <c r="K32" s="480">
        <v>17</v>
      </c>
      <c r="L32" s="480">
        <v>22</v>
      </c>
      <c r="M32" s="478">
        <f t="shared" si="2"/>
        <v>0.9733333333333333</v>
      </c>
      <c r="N32" s="478">
        <f t="shared" si="3"/>
        <v>0.06735466666666666</v>
      </c>
      <c r="O32" s="480">
        <f>F32-H32</f>
        <v>190.85028571428572</v>
      </c>
      <c r="P32" s="480">
        <f>O32/0.85</f>
        <v>224.52974789915967</v>
      </c>
    </row>
    <row r="33" spans="1:16" s="485" customFormat="1" ht="12" customHeight="1">
      <c r="A33" s="484"/>
      <c r="B33" s="663" t="s">
        <v>801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5"/>
    </row>
    <row r="34" spans="1:16" s="481" customFormat="1" ht="13.5" customHeight="1">
      <c r="A34" s="475">
        <v>25</v>
      </c>
      <c r="B34" s="476" t="s">
        <v>802</v>
      </c>
      <c r="C34" s="476" t="s">
        <v>784</v>
      </c>
      <c r="D34" s="476">
        <v>6</v>
      </c>
      <c r="E34" s="476">
        <v>400</v>
      </c>
      <c r="F34" s="483">
        <f aca="true" t="shared" si="6" ref="F34:F49">E34*0.85</f>
        <v>340</v>
      </c>
      <c r="G34" s="477">
        <f t="shared" si="5"/>
        <v>38.53564547206166</v>
      </c>
      <c r="H34" s="478">
        <f aca="true" t="shared" si="7" ref="H34:H49">1.73*D34*0.9*M34/0.7</f>
        <v>71.71097142857143</v>
      </c>
      <c r="I34" s="479">
        <f>H34</f>
        <v>71.71097142857143</v>
      </c>
      <c r="J34" s="480">
        <v>129</v>
      </c>
      <c r="K34" s="480">
        <v>124</v>
      </c>
      <c r="L34" s="480">
        <v>150</v>
      </c>
      <c r="M34" s="478">
        <f aca="true" t="shared" si="8" ref="M34:M49">(J34+K34+L34)/3/25</f>
        <v>5.373333333333334</v>
      </c>
      <c r="N34" s="478">
        <f aca="true" t="shared" si="9" ref="N34:N49">M34/G34</f>
        <v>0.139438</v>
      </c>
      <c r="O34" s="480">
        <f>F34-H34</f>
        <v>268.28902857142856</v>
      </c>
      <c r="P34" s="480">
        <f>O34/0.85</f>
        <v>315.6341512605042</v>
      </c>
    </row>
    <row r="35" spans="1:16" s="481" customFormat="1" ht="13.5" customHeight="1">
      <c r="A35" s="475">
        <v>26</v>
      </c>
      <c r="B35" s="486" t="s">
        <v>803</v>
      </c>
      <c r="C35" s="476" t="s">
        <v>794</v>
      </c>
      <c r="D35" s="476">
        <v>6</v>
      </c>
      <c r="E35" s="476">
        <v>400</v>
      </c>
      <c r="F35" s="483">
        <f t="shared" si="6"/>
        <v>340</v>
      </c>
      <c r="G35" s="477">
        <f t="shared" si="5"/>
        <v>38.53564547206166</v>
      </c>
      <c r="H35" s="478">
        <f t="shared" si="7"/>
        <v>76.69337142857141</v>
      </c>
      <c r="I35" s="479">
        <f>H35+H36</f>
        <v>117.08639999999998</v>
      </c>
      <c r="J35" s="480">
        <v>135</v>
      </c>
      <c r="K35" s="480">
        <v>151</v>
      </c>
      <c r="L35" s="480">
        <v>145</v>
      </c>
      <c r="M35" s="478">
        <f t="shared" si="8"/>
        <v>5.746666666666666</v>
      </c>
      <c r="N35" s="478">
        <f t="shared" si="9"/>
        <v>0.14912599999999998</v>
      </c>
      <c r="O35" s="479">
        <f>F35-I35</f>
        <v>222.91360000000003</v>
      </c>
      <c r="P35" s="479">
        <f>O35/0.85</f>
        <v>262.2512941176471</v>
      </c>
    </row>
    <row r="36" spans="1:16" s="481" customFormat="1" ht="13.5" customHeight="1">
      <c r="A36" s="475">
        <v>27</v>
      </c>
      <c r="B36" s="487"/>
      <c r="C36" s="476" t="s">
        <v>795</v>
      </c>
      <c r="D36" s="476">
        <v>6</v>
      </c>
      <c r="E36" s="476">
        <v>400</v>
      </c>
      <c r="F36" s="483">
        <f t="shared" si="6"/>
        <v>340</v>
      </c>
      <c r="G36" s="477">
        <f t="shared" si="5"/>
        <v>38.53564547206166</v>
      </c>
      <c r="H36" s="478">
        <f t="shared" si="7"/>
        <v>40.39302857142857</v>
      </c>
      <c r="I36" s="482"/>
      <c r="J36" s="480">
        <v>75</v>
      </c>
      <c r="K36" s="480">
        <v>80</v>
      </c>
      <c r="L36" s="480">
        <v>72</v>
      </c>
      <c r="M36" s="478">
        <f t="shared" si="8"/>
        <v>3.026666666666667</v>
      </c>
      <c r="N36" s="478">
        <f t="shared" si="9"/>
        <v>0.078542</v>
      </c>
      <c r="O36" s="482"/>
      <c r="P36" s="482"/>
    </row>
    <row r="37" spans="1:16" s="481" customFormat="1" ht="13.5" customHeight="1">
      <c r="A37" s="475">
        <v>28</v>
      </c>
      <c r="B37" s="486" t="s">
        <v>804</v>
      </c>
      <c r="C37" s="476" t="s">
        <v>794</v>
      </c>
      <c r="D37" s="476">
        <v>6</v>
      </c>
      <c r="E37" s="476">
        <v>630</v>
      </c>
      <c r="F37" s="483">
        <f t="shared" si="6"/>
        <v>535.5</v>
      </c>
      <c r="G37" s="477">
        <v>60.621</v>
      </c>
      <c r="H37" s="478">
        <f t="shared" si="7"/>
        <v>130.25417142857142</v>
      </c>
      <c r="I37" s="479">
        <f>H37+H38</f>
        <v>138.43954285714284</v>
      </c>
      <c r="J37" s="480">
        <v>246</v>
      </c>
      <c r="K37" s="480">
        <v>240</v>
      </c>
      <c r="L37" s="480">
        <v>246</v>
      </c>
      <c r="M37" s="478">
        <f t="shared" si="8"/>
        <v>9.76</v>
      </c>
      <c r="N37" s="478">
        <f t="shared" si="9"/>
        <v>0.1610003134227413</v>
      </c>
      <c r="O37" s="479">
        <f>F37-I37</f>
        <v>397.06045714285716</v>
      </c>
      <c r="P37" s="479">
        <f>O37/0.85</f>
        <v>467.129949579832</v>
      </c>
    </row>
    <row r="38" spans="1:16" s="481" customFormat="1" ht="13.5" customHeight="1">
      <c r="A38" s="475">
        <v>29</v>
      </c>
      <c r="B38" s="487"/>
      <c r="C38" s="476" t="s">
        <v>795</v>
      </c>
      <c r="D38" s="476">
        <v>6</v>
      </c>
      <c r="E38" s="476">
        <v>630</v>
      </c>
      <c r="F38" s="483">
        <f t="shared" si="6"/>
        <v>535.5</v>
      </c>
      <c r="G38" s="477">
        <v>60.621</v>
      </c>
      <c r="H38" s="478">
        <f t="shared" si="7"/>
        <v>8.185371428571429</v>
      </c>
      <c r="I38" s="482"/>
      <c r="J38" s="480">
        <v>17</v>
      </c>
      <c r="K38" s="480">
        <v>17</v>
      </c>
      <c r="L38" s="480">
        <v>12</v>
      </c>
      <c r="M38" s="478">
        <f t="shared" si="8"/>
        <v>0.6133333333333334</v>
      </c>
      <c r="N38" s="478">
        <f t="shared" si="9"/>
        <v>0.010117506034762433</v>
      </c>
      <c r="O38" s="482"/>
      <c r="P38" s="482"/>
    </row>
    <row r="39" spans="1:16" s="481" customFormat="1" ht="13.5" customHeight="1">
      <c r="A39" s="475">
        <v>30</v>
      </c>
      <c r="B39" s="486" t="s">
        <v>587</v>
      </c>
      <c r="C39" s="476" t="s">
        <v>794</v>
      </c>
      <c r="D39" s="476">
        <v>6</v>
      </c>
      <c r="E39" s="476">
        <v>400</v>
      </c>
      <c r="F39" s="483">
        <f t="shared" si="6"/>
        <v>340</v>
      </c>
      <c r="G39" s="477">
        <f t="shared" si="5"/>
        <v>38.53564547206166</v>
      </c>
      <c r="H39" s="478">
        <f t="shared" si="7"/>
        <v>33.09737142857143</v>
      </c>
      <c r="I39" s="479">
        <f>H39+H40</f>
        <v>105.876</v>
      </c>
      <c r="J39" s="480">
        <v>65</v>
      </c>
      <c r="K39" s="480">
        <v>60</v>
      </c>
      <c r="L39" s="480">
        <v>61</v>
      </c>
      <c r="M39" s="478">
        <f t="shared" si="8"/>
        <v>2.48</v>
      </c>
      <c r="N39" s="478">
        <f t="shared" si="9"/>
        <v>0.064356</v>
      </c>
      <c r="O39" s="479">
        <f>F39-I39</f>
        <v>234.124</v>
      </c>
      <c r="P39" s="479">
        <f>O39/0.85</f>
        <v>275.44</v>
      </c>
    </row>
    <row r="40" spans="1:16" s="481" customFormat="1" ht="13.5" customHeight="1">
      <c r="A40" s="475">
        <v>31</v>
      </c>
      <c r="B40" s="487"/>
      <c r="C40" s="476" t="s">
        <v>795</v>
      </c>
      <c r="D40" s="476">
        <v>6</v>
      </c>
      <c r="E40" s="476">
        <v>250</v>
      </c>
      <c r="F40" s="483">
        <f t="shared" si="6"/>
        <v>212.5</v>
      </c>
      <c r="G40" s="477">
        <f t="shared" si="5"/>
        <v>24.08477842003854</v>
      </c>
      <c r="H40" s="478">
        <f t="shared" si="7"/>
        <v>72.77862857142857</v>
      </c>
      <c r="I40" s="482"/>
      <c r="J40" s="480">
        <v>135</v>
      </c>
      <c r="K40" s="480">
        <v>134</v>
      </c>
      <c r="L40" s="480">
        <v>140</v>
      </c>
      <c r="M40" s="478">
        <f t="shared" si="8"/>
        <v>5.453333333333334</v>
      </c>
      <c r="N40" s="478">
        <f t="shared" si="9"/>
        <v>0.2264224</v>
      </c>
      <c r="O40" s="482"/>
      <c r="P40" s="482"/>
    </row>
    <row r="41" spans="1:16" s="481" customFormat="1" ht="13.5" customHeight="1">
      <c r="A41" s="475">
        <v>32</v>
      </c>
      <c r="B41" s="486" t="s">
        <v>624</v>
      </c>
      <c r="C41" s="476" t="s">
        <v>794</v>
      </c>
      <c r="D41" s="476">
        <v>6</v>
      </c>
      <c r="E41" s="476">
        <v>250</v>
      </c>
      <c r="F41" s="483">
        <f t="shared" si="6"/>
        <v>212.5</v>
      </c>
      <c r="G41" s="477">
        <f t="shared" si="5"/>
        <v>24.08477842003854</v>
      </c>
      <c r="H41" s="478">
        <f t="shared" si="7"/>
        <v>17.260457142857142</v>
      </c>
      <c r="I41" s="479">
        <f>H41+H42</f>
        <v>57.653485714285715</v>
      </c>
      <c r="J41" s="480">
        <v>52</v>
      </c>
      <c r="K41" s="480">
        <v>30</v>
      </c>
      <c r="L41" s="480">
        <v>15</v>
      </c>
      <c r="M41" s="478">
        <f t="shared" si="8"/>
        <v>1.2933333333333334</v>
      </c>
      <c r="N41" s="478">
        <f t="shared" si="9"/>
        <v>0.053699199999999996</v>
      </c>
      <c r="O41" s="479">
        <f>F41-I41</f>
        <v>154.84651428571428</v>
      </c>
      <c r="P41" s="479">
        <f>O41/0.85</f>
        <v>182.17236974789915</v>
      </c>
    </row>
    <row r="42" spans="1:16" s="481" customFormat="1" ht="13.5" customHeight="1">
      <c r="A42" s="475">
        <v>33</v>
      </c>
      <c r="B42" s="487"/>
      <c r="C42" s="476" t="s">
        <v>795</v>
      </c>
      <c r="D42" s="476">
        <v>6</v>
      </c>
      <c r="E42" s="476">
        <v>250</v>
      </c>
      <c r="F42" s="483">
        <f t="shared" si="6"/>
        <v>212.5</v>
      </c>
      <c r="G42" s="477">
        <f t="shared" si="5"/>
        <v>24.08477842003854</v>
      </c>
      <c r="H42" s="478">
        <f t="shared" si="7"/>
        <v>40.39302857142857</v>
      </c>
      <c r="I42" s="482"/>
      <c r="J42" s="480">
        <v>55</v>
      </c>
      <c r="K42" s="480">
        <v>100</v>
      </c>
      <c r="L42" s="480">
        <v>72</v>
      </c>
      <c r="M42" s="478">
        <f t="shared" si="8"/>
        <v>3.026666666666667</v>
      </c>
      <c r="N42" s="478">
        <f t="shared" si="9"/>
        <v>0.12566719999999998</v>
      </c>
      <c r="O42" s="482"/>
      <c r="P42" s="482"/>
    </row>
    <row r="43" spans="1:16" s="481" customFormat="1" ht="13.5" customHeight="1">
      <c r="A43" s="475">
        <v>34</v>
      </c>
      <c r="B43" s="476" t="s">
        <v>680</v>
      </c>
      <c r="C43" s="476" t="s">
        <v>784</v>
      </c>
      <c r="D43" s="476">
        <v>6</v>
      </c>
      <c r="E43" s="476">
        <v>630</v>
      </c>
      <c r="F43" s="483">
        <f t="shared" si="6"/>
        <v>535.5</v>
      </c>
      <c r="G43" s="477">
        <v>60.621</v>
      </c>
      <c r="H43" s="478">
        <f t="shared" si="7"/>
        <v>70.10948571428571</v>
      </c>
      <c r="I43" s="479">
        <f>H43</f>
        <v>70.10948571428571</v>
      </c>
      <c r="J43" s="480">
        <v>118</v>
      </c>
      <c r="K43" s="480">
        <v>160</v>
      </c>
      <c r="L43" s="480">
        <v>116</v>
      </c>
      <c r="M43" s="478">
        <f t="shared" si="8"/>
        <v>5.253333333333334</v>
      </c>
      <c r="N43" s="478">
        <f t="shared" si="9"/>
        <v>0.08665863864557387</v>
      </c>
      <c r="O43" s="480">
        <f>F43-H43</f>
        <v>465.3905142857143</v>
      </c>
      <c r="P43" s="480">
        <f>O43/0.85</f>
        <v>547.5182521008403</v>
      </c>
    </row>
    <row r="44" spans="1:16" s="481" customFormat="1" ht="13.5" customHeight="1">
      <c r="A44" s="475">
        <v>35</v>
      </c>
      <c r="B44" s="486" t="s">
        <v>805</v>
      </c>
      <c r="C44" s="476" t="s">
        <v>794</v>
      </c>
      <c r="D44" s="476">
        <v>6</v>
      </c>
      <c r="E44" s="476">
        <v>630</v>
      </c>
      <c r="F44" s="483">
        <f t="shared" si="6"/>
        <v>535.5</v>
      </c>
      <c r="G44" s="477">
        <v>60.621</v>
      </c>
      <c r="H44" s="478">
        <f t="shared" si="7"/>
        <v>0</v>
      </c>
      <c r="I44" s="479">
        <f>H44+H45</f>
        <v>52.67108571428572</v>
      </c>
      <c r="J44" s="480">
        <v>0</v>
      </c>
      <c r="K44" s="480">
        <v>0</v>
      </c>
      <c r="L44" s="480">
        <v>0</v>
      </c>
      <c r="M44" s="478">
        <f t="shared" si="8"/>
        <v>0</v>
      </c>
      <c r="N44" s="478">
        <f t="shared" si="9"/>
        <v>0</v>
      </c>
      <c r="O44" s="479">
        <f>F44-I44</f>
        <v>482.8289142857143</v>
      </c>
      <c r="P44" s="479">
        <f>O44/0.85</f>
        <v>568.0340168067227</v>
      </c>
    </row>
    <row r="45" spans="1:16" s="481" customFormat="1" ht="13.5" customHeight="1">
      <c r="A45" s="475">
        <v>36</v>
      </c>
      <c r="B45" s="487"/>
      <c r="C45" s="476" t="s">
        <v>795</v>
      </c>
      <c r="D45" s="476">
        <v>6</v>
      </c>
      <c r="E45" s="476">
        <v>630</v>
      </c>
      <c r="F45" s="483">
        <f t="shared" si="6"/>
        <v>535.5</v>
      </c>
      <c r="G45" s="477">
        <v>60.621</v>
      </c>
      <c r="H45" s="478">
        <f t="shared" si="7"/>
        <v>52.67108571428572</v>
      </c>
      <c r="I45" s="482"/>
      <c r="J45" s="480">
        <v>87</v>
      </c>
      <c r="K45" s="480">
        <v>129</v>
      </c>
      <c r="L45" s="480">
        <v>80</v>
      </c>
      <c r="M45" s="478">
        <f t="shared" si="8"/>
        <v>3.9466666666666668</v>
      </c>
      <c r="N45" s="478">
        <f t="shared" si="9"/>
        <v>0.0651039518758626</v>
      </c>
      <c r="O45" s="482"/>
      <c r="P45" s="482"/>
    </row>
    <row r="46" spans="1:16" s="481" customFormat="1" ht="13.5" customHeight="1">
      <c r="A46" s="475">
        <v>37</v>
      </c>
      <c r="B46" s="476" t="s">
        <v>806</v>
      </c>
      <c r="C46" s="476" t="s">
        <v>784</v>
      </c>
      <c r="D46" s="476">
        <v>6</v>
      </c>
      <c r="E46" s="476">
        <v>160</v>
      </c>
      <c r="F46" s="483">
        <f t="shared" si="6"/>
        <v>136</v>
      </c>
      <c r="G46" s="477">
        <f t="shared" si="5"/>
        <v>15.414258188824665</v>
      </c>
      <c r="H46" s="478">
        <f t="shared" si="7"/>
        <v>0</v>
      </c>
      <c r="I46" s="479">
        <f>H46</f>
        <v>0</v>
      </c>
      <c r="J46" s="480">
        <v>0</v>
      </c>
      <c r="K46" s="480">
        <v>0</v>
      </c>
      <c r="L46" s="480">
        <v>0</v>
      </c>
      <c r="M46" s="478">
        <f t="shared" si="8"/>
        <v>0</v>
      </c>
      <c r="N46" s="478">
        <f t="shared" si="9"/>
        <v>0</v>
      </c>
      <c r="O46" s="480">
        <f>F46-H46</f>
        <v>136</v>
      </c>
      <c r="P46" s="480">
        <f>O46/0.85</f>
        <v>160</v>
      </c>
    </row>
    <row r="47" spans="1:16" s="481" customFormat="1" ht="13.5" customHeight="1">
      <c r="A47" s="475">
        <v>38</v>
      </c>
      <c r="B47" s="486" t="str">
        <f>'[1]ПС 368 Ф5,21,2,22'!$A$15</f>
        <v>КТП-125</v>
      </c>
      <c r="C47" s="476" t="s">
        <v>794</v>
      </c>
      <c r="D47" s="476">
        <v>6</v>
      </c>
      <c r="E47" s="476">
        <v>400</v>
      </c>
      <c r="F47" s="483">
        <f t="shared" si="6"/>
        <v>340</v>
      </c>
      <c r="G47" s="477">
        <f t="shared" si="5"/>
        <v>38.53564547206166</v>
      </c>
      <c r="H47" s="478">
        <f t="shared" si="7"/>
        <v>0</v>
      </c>
      <c r="I47" s="479">
        <f>H47+H48</f>
        <v>0</v>
      </c>
      <c r="J47" s="480">
        <v>0</v>
      </c>
      <c r="K47" s="480">
        <v>0</v>
      </c>
      <c r="L47" s="480">
        <v>0</v>
      </c>
      <c r="M47" s="478">
        <f t="shared" si="8"/>
        <v>0</v>
      </c>
      <c r="N47" s="478">
        <f t="shared" si="9"/>
        <v>0</v>
      </c>
      <c r="O47" s="479">
        <f>F47-I47</f>
        <v>340</v>
      </c>
      <c r="P47" s="479">
        <f>O47/0.85</f>
        <v>400</v>
      </c>
    </row>
    <row r="48" spans="1:16" s="481" customFormat="1" ht="13.5" customHeight="1">
      <c r="A48" s="475">
        <v>39</v>
      </c>
      <c r="B48" s="487"/>
      <c r="C48" s="476" t="s">
        <v>795</v>
      </c>
      <c r="D48" s="476">
        <v>6</v>
      </c>
      <c r="E48" s="476">
        <v>400</v>
      </c>
      <c r="F48" s="483">
        <f t="shared" si="6"/>
        <v>340</v>
      </c>
      <c r="G48" s="477">
        <f t="shared" si="5"/>
        <v>38.53564547206166</v>
      </c>
      <c r="H48" s="478">
        <f t="shared" si="7"/>
        <v>0</v>
      </c>
      <c r="I48" s="482"/>
      <c r="J48" s="480">
        <v>0</v>
      </c>
      <c r="K48" s="480">
        <v>0</v>
      </c>
      <c r="L48" s="480">
        <v>0</v>
      </c>
      <c r="M48" s="478">
        <f t="shared" si="8"/>
        <v>0</v>
      </c>
      <c r="N48" s="478">
        <f t="shared" si="9"/>
        <v>0</v>
      </c>
      <c r="O48" s="482"/>
      <c r="P48" s="482"/>
    </row>
    <row r="49" spans="1:16" s="481" customFormat="1" ht="13.5" customHeight="1">
      <c r="A49" s="475">
        <v>40</v>
      </c>
      <c r="B49" s="476" t="str">
        <f>'[1]ПС 368 Ф5,21,2,22'!$A$17</f>
        <v>КТП-122</v>
      </c>
      <c r="C49" s="476" t="s">
        <v>784</v>
      </c>
      <c r="D49" s="476">
        <v>6</v>
      </c>
      <c r="E49" s="476">
        <v>400</v>
      </c>
      <c r="F49" s="483">
        <f t="shared" si="6"/>
        <v>340</v>
      </c>
      <c r="G49" s="477">
        <f t="shared" si="5"/>
        <v>38.53564547206166</v>
      </c>
      <c r="H49" s="478">
        <f t="shared" si="7"/>
        <v>0</v>
      </c>
      <c r="I49" s="479">
        <f>H49</f>
        <v>0</v>
      </c>
      <c r="J49" s="480">
        <v>0</v>
      </c>
      <c r="K49" s="480">
        <v>0</v>
      </c>
      <c r="L49" s="480">
        <v>0</v>
      </c>
      <c r="M49" s="478">
        <f t="shared" si="8"/>
        <v>0</v>
      </c>
      <c r="N49" s="478">
        <f t="shared" si="9"/>
        <v>0</v>
      </c>
      <c r="O49" s="480">
        <f>F49-H49</f>
        <v>340</v>
      </c>
      <c r="P49" s="480">
        <f>O49/0.85</f>
        <v>400</v>
      </c>
    </row>
    <row r="50" spans="1:16" s="485" customFormat="1" ht="14.25">
      <c r="A50" s="484"/>
      <c r="B50" s="663" t="s">
        <v>807</v>
      </c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4"/>
      <c r="P50" s="665"/>
    </row>
    <row r="51" spans="1:16" s="481" customFormat="1" ht="14.25">
      <c r="A51" s="475">
        <v>41</v>
      </c>
      <c r="B51" s="659" t="str">
        <f>'[1]Ф8,55,Ф60'!$A$5</f>
        <v>ТП-31</v>
      </c>
      <c r="C51" s="476" t="s">
        <v>794</v>
      </c>
      <c r="D51" s="476">
        <v>6</v>
      </c>
      <c r="E51" s="476">
        <v>250</v>
      </c>
      <c r="F51" s="483">
        <f aca="true" t="shared" si="10" ref="F51:F114">E51*0.85</f>
        <v>212.5</v>
      </c>
      <c r="G51" s="477">
        <f t="shared" si="5"/>
        <v>24.08477842003854</v>
      </c>
      <c r="H51" s="478">
        <f aca="true" t="shared" si="11" ref="H51:H114">1.73*D51*0.9*M51/0.7</f>
        <v>0</v>
      </c>
      <c r="I51" s="661">
        <f>H51+H52</f>
        <v>2.1353142857142857</v>
      </c>
      <c r="J51" s="480">
        <v>0</v>
      </c>
      <c r="K51" s="480">
        <v>0</v>
      </c>
      <c r="L51" s="480">
        <v>0</v>
      </c>
      <c r="M51" s="478">
        <f aca="true" t="shared" si="12" ref="M51:M114">(J51+K51+L51)/3/25</f>
        <v>0</v>
      </c>
      <c r="N51" s="478">
        <f aca="true" t="shared" si="13" ref="N51:N114">M51/G51</f>
        <v>0</v>
      </c>
      <c r="O51" s="661">
        <f>F51-I51</f>
        <v>210.3646857142857</v>
      </c>
      <c r="P51" s="661">
        <f>O51/0.85</f>
        <v>247.4878655462185</v>
      </c>
    </row>
    <row r="52" spans="1:16" s="481" customFormat="1" ht="14.25">
      <c r="A52" s="475">
        <v>42</v>
      </c>
      <c r="B52" s="660"/>
      <c r="C52" s="476" t="s">
        <v>795</v>
      </c>
      <c r="D52" s="476">
        <v>6</v>
      </c>
      <c r="E52" s="476">
        <v>250</v>
      </c>
      <c r="F52" s="483">
        <f t="shared" si="10"/>
        <v>212.5</v>
      </c>
      <c r="G52" s="477">
        <f t="shared" si="5"/>
        <v>24.08477842003854</v>
      </c>
      <c r="H52" s="478">
        <f t="shared" si="11"/>
        <v>2.1353142857142857</v>
      </c>
      <c r="I52" s="662"/>
      <c r="J52" s="480">
        <v>2</v>
      </c>
      <c r="K52" s="480">
        <v>6</v>
      </c>
      <c r="L52" s="480">
        <v>4</v>
      </c>
      <c r="M52" s="478">
        <f t="shared" si="12"/>
        <v>0.16</v>
      </c>
      <c r="N52" s="478">
        <f t="shared" si="13"/>
        <v>0.006643199999999999</v>
      </c>
      <c r="O52" s="662"/>
      <c r="P52" s="662"/>
    </row>
    <row r="53" spans="1:16" s="481" customFormat="1" ht="14.25">
      <c r="A53" s="475">
        <v>43</v>
      </c>
      <c r="B53" s="659" t="str">
        <f>'[1]Ф8,55,Ф60'!$K$9</f>
        <v>ТП-71 </v>
      </c>
      <c r="C53" s="476" t="s">
        <v>794</v>
      </c>
      <c r="D53" s="476">
        <v>6</v>
      </c>
      <c r="E53" s="476">
        <v>400</v>
      </c>
      <c r="F53" s="483">
        <f t="shared" si="10"/>
        <v>340</v>
      </c>
      <c r="G53" s="477">
        <f t="shared" si="5"/>
        <v>38.53564547206166</v>
      </c>
      <c r="H53" s="478">
        <f t="shared" si="11"/>
        <v>0</v>
      </c>
      <c r="I53" s="661">
        <f>H53+H54</f>
        <v>104.98628571428569</v>
      </c>
      <c r="J53" s="480">
        <v>0</v>
      </c>
      <c r="K53" s="480">
        <v>0</v>
      </c>
      <c r="L53" s="480">
        <v>0</v>
      </c>
      <c r="M53" s="478">
        <f t="shared" si="12"/>
        <v>0</v>
      </c>
      <c r="N53" s="478">
        <f t="shared" si="13"/>
        <v>0</v>
      </c>
      <c r="O53" s="661">
        <f>F53-I53</f>
        <v>235.01371428571431</v>
      </c>
      <c r="P53" s="661">
        <f>O53/0.85</f>
        <v>276.4867226890757</v>
      </c>
    </row>
    <row r="54" spans="1:16" s="481" customFormat="1" ht="14.25">
      <c r="A54" s="475">
        <v>44</v>
      </c>
      <c r="B54" s="660"/>
      <c r="C54" s="476" t="s">
        <v>795</v>
      </c>
      <c r="D54" s="476">
        <v>6</v>
      </c>
      <c r="E54" s="476">
        <v>400</v>
      </c>
      <c r="F54" s="483">
        <f t="shared" si="10"/>
        <v>340</v>
      </c>
      <c r="G54" s="477">
        <f t="shared" si="5"/>
        <v>38.53564547206166</v>
      </c>
      <c r="H54" s="478">
        <f t="shared" si="11"/>
        <v>104.98628571428569</v>
      </c>
      <c r="I54" s="662"/>
      <c r="J54" s="480">
        <v>281</v>
      </c>
      <c r="K54" s="480">
        <v>281</v>
      </c>
      <c r="L54" s="480">
        <v>28</v>
      </c>
      <c r="M54" s="478">
        <f t="shared" si="12"/>
        <v>7.866666666666666</v>
      </c>
      <c r="N54" s="478">
        <f t="shared" si="13"/>
        <v>0.20414</v>
      </c>
      <c r="O54" s="662"/>
      <c r="P54" s="662"/>
    </row>
    <row r="55" spans="1:16" s="481" customFormat="1" ht="14.25">
      <c r="A55" s="475">
        <v>45</v>
      </c>
      <c r="B55" s="659" t="s">
        <v>808</v>
      </c>
      <c r="C55" s="476" t="s">
        <v>794</v>
      </c>
      <c r="D55" s="476">
        <v>6</v>
      </c>
      <c r="E55" s="476">
        <v>630</v>
      </c>
      <c r="F55" s="483">
        <f t="shared" si="10"/>
        <v>535.5</v>
      </c>
      <c r="G55" s="477">
        <v>60.621</v>
      </c>
      <c r="H55" s="478">
        <f t="shared" si="11"/>
        <v>154.0985142857143</v>
      </c>
      <c r="I55" s="661">
        <f>H55+H56</f>
        <v>242.892</v>
      </c>
      <c r="J55" s="480">
        <v>268</v>
      </c>
      <c r="K55" s="480">
        <v>297</v>
      </c>
      <c r="L55" s="480">
        <v>301</v>
      </c>
      <c r="M55" s="478">
        <f t="shared" si="12"/>
        <v>11.546666666666667</v>
      </c>
      <c r="N55" s="478">
        <f t="shared" si="13"/>
        <v>0.190473048393571</v>
      </c>
      <c r="O55" s="661">
        <f>F55-I55</f>
        <v>292.608</v>
      </c>
      <c r="P55" s="661">
        <f>O55/0.85</f>
        <v>344.24470588235295</v>
      </c>
    </row>
    <row r="56" spans="1:16" s="481" customFormat="1" ht="14.25">
      <c r="A56" s="475">
        <v>46</v>
      </c>
      <c r="B56" s="660"/>
      <c r="C56" s="476" t="s">
        <v>795</v>
      </c>
      <c r="D56" s="476">
        <v>6</v>
      </c>
      <c r="E56" s="476">
        <v>630</v>
      </c>
      <c r="F56" s="483">
        <f t="shared" si="10"/>
        <v>535.5</v>
      </c>
      <c r="G56" s="477">
        <v>60.621</v>
      </c>
      <c r="H56" s="478">
        <f t="shared" si="11"/>
        <v>88.79348571428571</v>
      </c>
      <c r="I56" s="662"/>
      <c r="J56" s="480">
        <v>152</v>
      </c>
      <c r="K56" s="480">
        <v>149</v>
      </c>
      <c r="L56" s="480">
        <v>198</v>
      </c>
      <c r="M56" s="478">
        <f t="shared" si="12"/>
        <v>6.653333333333333</v>
      </c>
      <c r="N56" s="478">
        <f t="shared" si="13"/>
        <v>0.10975294589883593</v>
      </c>
      <c r="O56" s="662"/>
      <c r="P56" s="662"/>
    </row>
    <row r="57" spans="1:16" s="481" customFormat="1" ht="14.25">
      <c r="A57" s="475">
        <v>47</v>
      </c>
      <c r="B57" s="659" t="str">
        <f>'[1]ф37,Ф30'!$B$15</f>
        <v>ТП-33</v>
      </c>
      <c r="C57" s="476" t="s">
        <v>794</v>
      </c>
      <c r="D57" s="476">
        <v>6</v>
      </c>
      <c r="E57" s="476">
        <v>400</v>
      </c>
      <c r="F57" s="483">
        <f t="shared" si="10"/>
        <v>340</v>
      </c>
      <c r="G57" s="477">
        <f t="shared" si="5"/>
        <v>38.53564547206166</v>
      </c>
      <c r="H57" s="478">
        <f t="shared" si="11"/>
        <v>25.78391999999999</v>
      </c>
      <c r="I57" s="661">
        <f>H57+H58</f>
        <v>119.73774857142857</v>
      </c>
      <c r="J57" s="480">
        <v>51.4</v>
      </c>
      <c r="K57" s="480">
        <v>56.3</v>
      </c>
      <c r="L57" s="480">
        <v>37.2</v>
      </c>
      <c r="M57" s="478">
        <f t="shared" si="12"/>
        <v>1.9319999999999995</v>
      </c>
      <c r="N57" s="478">
        <f t="shared" si="13"/>
        <v>0.05013539999999998</v>
      </c>
      <c r="O57" s="661">
        <f>F57-I57</f>
        <v>220.26225142857143</v>
      </c>
      <c r="P57" s="661">
        <f>O57/0.85</f>
        <v>259.1320605042017</v>
      </c>
    </row>
    <row r="58" spans="1:16" s="481" customFormat="1" ht="14.25">
      <c r="A58" s="475">
        <v>48</v>
      </c>
      <c r="B58" s="660"/>
      <c r="C58" s="476" t="s">
        <v>795</v>
      </c>
      <c r="D58" s="476">
        <v>6</v>
      </c>
      <c r="E58" s="476">
        <v>400</v>
      </c>
      <c r="F58" s="483">
        <f t="shared" si="10"/>
        <v>340</v>
      </c>
      <c r="G58" s="477">
        <f t="shared" si="5"/>
        <v>38.53564547206166</v>
      </c>
      <c r="H58" s="478">
        <f t="shared" si="11"/>
        <v>93.95382857142857</v>
      </c>
      <c r="I58" s="662"/>
      <c r="J58" s="480">
        <v>178</v>
      </c>
      <c r="K58" s="480">
        <v>165</v>
      </c>
      <c r="L58" s="480">
        <v>185</v>
      </c>
      <c r="M58" s="478">
        <f t="shared" si="12"/>
        <v>7.04</v>
      </c>
      <c r="N58" s="478">
        <f t="shared" si="13"/>
        <v>0.182688</v>
      </c>
      <c r="O58" s="662"/>
      <c r="P58" s="662"/>
    </row>
    <row r="59" spans="1:16" s="481" customFormat="1" ht="14.25">
      <c r="A59" s="475">
        <v>49</v>
      </c>
      <c r="B59" s="659" t="str">
        <f>'[1]ф37,Ф30'!$B$29</f>
        <v>ТП-39</v>
      </c>
      <c r="C59" s="476" t="s">
        <v>794</v>
      </c>
      <c r="D59" s="476">
        <v>6</v>
      </c>
      <c r="E59" s="476">
        <v>400</v>
      </c>
      <c r="F59" s="483">
        <f t="shared" si="10"/>
        <v>340</v>
      </c>
      <c r="G59" s="477">
        <f t="shared" si="5"/>
        <v>38.53564547206166</v>
      </c>
      <c r="H59" s="478">
        <f t="shared" si="11"/>
        <v>90.39497142857142</v>
      </c>
      <c r="I59" s="661">
        <f>H59+H60</f>
        <v>105.16422857142857</v>
      </c>
      <c r="J59" s="480">
        <v>170</v>
      </c>
      <c r="K59" s="480">
        <v>159</v>
      </c>
      <c r="L59" s="480">
        <v>179</v>
      </c>
      <c r="M59" s="478">
        <f t="shared" si="12"/>
        <v>6.773333333333333</v>
      </c>
      <c r="N59" s="478">
        <f t="shared" si="13"/>
        <v>0.17576799999999998</v>
      </c>
      <c r="O59" s="661">
        <f>F59-I59</f>
        <v>234.83577142857143</v>
      </c>
      <c r="P59" s="661">
        <f>O59/0.85</f>
        <v>276.2773781512605</v>
      </c>
    </row>
    <row r="60" spans="1:16" s="481" customFormat="1" ht="14.25">
      <c r="A60" s="475">
        <v>50</v>
      </c>
      <c r="B60" s="660"/>
      <c r="C60" s="476" t="s">
        <v>795</v>
      </c>
      <c r="D60" s="476">
        <v>6</v>
      </c>
      <c r="E60" s="476">
        <v>400</v>
      </c>
      <c r="F60" s="483">
        <f t="shared" si="10"/>
        <v>340</v>
      </c>
      <c r="G60" s="477">
        <f t="shared" si="5"/>
        <v>38.53564547206166</v>
      </c>
      <c r="H60" s="478">
        <f t="shared" si="11"/>
        <v>14.769257142857143</v>
      </c>
      <c r="I60" s="662"/>
      <c r="J60" s="480">
        <v>41</v>
      </c>
      <c r="K60" s="480">
        <v>28</v>
      </c>
      <c r="L60" s="480">
        <v>14</v>
      </c>
      <c r="M60" s="478">
        <f t="shared" si="12"/>
        <v>1.1066666666666667</v>
      </c>
      <c r="N60" s="478">
        <f t="shared" si="13"/>
        <v>0.028717999999999997</v>
      </c>
      <c r="O60" s="662"/>
      <c r="P60" s="662"/>
    </row>
    <row r="61" spans="1:16" s="481" customFormat="1" ht="14.25">
      <c r="A61" s="475">
        <v>51</v>
      </c>
      <c r="B61" s="659" t="str">
        <f>'[1]ф37,Ф30'!$B$39</f>
        <v>ТП-5</v>
      </c>
      <c r="C61" s="476" t="s">
        <v>794</v>
      </c>
      <c r="D61" s="476">
        <v>6</v>
      </c>
      <c r="E61" s="476">
        <v>250</v>
      </c>
      <c r="F61" s="483">
        <f t="shared" si="10"/>
        <v>212.5</v>
      </c>
      <c r="G61" s="477">
        <f t="shared" si="5"/>
        <v>24.08477842003854</v>
      </c>
      <c r="H61" s="478">
        <f t="shared" si="11"/>
        <v>0</v>
      </c>
      <c r="I61" s="661">
        <f>H61+H62</f>
        <v>69.21977142857142</v>
      </c>
      <c r="J61" s="480">
        <v>0</v>
      </c>
      <c r="K61" s="480">
        <v>0</v>
      </c>
      <c r="L61" s="480">
        <v>0</v>
      </c>
      <c r="M61" s="478">
        <f t="shared" si="12"/>
        <v>0</v>
      </c>
      <c r="N61" s="478">
        <f t="shared" si="13"/>
        <v>0</v>
      </c>
      <c r="O61" s="661">
        <f>F61-I61</f>
        <v>143.28022857142858</v>
      </c>
      <c r="P61" s="661">
        <f>O61/0.85</f>
        <v>168.564974789916</v>
      </c>
    </row>
    <row r="62" spans="1:16" s="481" customFormat="1" ht="14.25">
      <c r="A62" s="475">
        <v>52</v>
      </c>
      <c r="B62" s="660"/>
      <c r="C62" s="476" t="s">
        <v>795</v>
      </c>
      <c r="D62" s="476">
        <v>6</v>
      </c>
      <c r="E62" s="476">
        <v>250</v>
      </c>
      <c r="F62" s="483">
        <f t="shared" si="10"/>
        <v>212.5</v>
      </c>
      <c r="G62" s="477">
        <f t="shared" si="5"/>
        <v>24.08477842003854</v>
      </c>
      <c r="H62" s="478">
        <f t="shared" si="11"/>
        <v>69.21977142857142</v>
      </c>
      <c r="I62" s="662"/>
      <c r="J62" s="480">
        <v>130</v>
      </c>
      <c r="K62" s="480">
        <v>112</v>
      </c>
      <c r="L62" s="480">
        <v>147</v>
      </c>
      <c r="M62" s="478">
        <f t="shared" si="12"/>
        <v>5.1866666666666665</v>
      </c>
      <c r="N62" s="478">
        <f t="shared" si="13"/>
        <v>0.21535039999999997</v>
      </c>
      <c r="O62" s="662"/>
      <c r="P62" s="662"/>
    </row>
    <row r="63" spans="1:16" s="481" customFormat="1" ht="14.25">
      <c r="A63" s="475">
        <v>53</v>
      </c>
      <c r="B63" s="659" t="str">
        <f>'[1]ф37,Ф30'!$L$18</f>
        <v>ТП-60</v>
      </c>
      <c r="C63" s="476" t="s">
        <v>794</v>
      </c>
      <c r="D63" s="476">
        <v>6</v>
      </c>
      <c r="E63" s="476">
        <v>400</v>
      </c>
      <c r="F63" s="483">
        <f t="shared" si="10"/>
        <v>340</v>
      </c>
      <c r="G63" s="477">
        <f t="shared" si="5"/>
        <v>38.53564547206166</v>
      </c>
      <c r="H63" s="478">
        <f t="shared" si="11"/>
        <v>56.58582857142857</v>
      </c>
      <c r="I63" s="661">
        <f>H63+H64</f>
        <v>106.40982857142856</v>
      </c>
      <c r="J63" s="480">
        <v>112</v>
      </c>
      <c r="K63" s="480">
        <v>100</v>
      </c>
      <c r="L63" s="480">
        <v>106</v>
      </c>
      <c r="M63" s="478">
        <f t="shared" si="12"/>
        <v>4.24</v>
      </c>
      <c r="N63" s="478">
        <f t="shared" si="13"/>
        <v>0.110028</v>
      </c>
      <c r="O63" s="661">
        <f>F63-I63</f>
        <v>233.59017142857144</v>
      </c>
      <c r="P63" s="661">
        <f>O63/0.85</f>
        <v>274.8119663865546</v>
      </c>
    </row>
    <row r="64" spans="1:16" s="481" customFormat="1" ht="14.25">
      <c r="A64" s="475">
        <v>54</v>
      </c>
      <c r="B64" s="660"/>
      <c r="C64" s="476" t="s">
        <v>795</v>
      </c>
      <c r="D64" s="476">
        <v>6</v>
      </c>
      <c r="E64" s="476">
        <v>400</v>
      </c>
      <c r="F64" s="483">
        <f t="shared" si="10"/>
        <v>340</v>
      </c>
      <c r="G64" s="477">
        <f t="shared" si="5"/>
        <v>38.53564547206166</v>
      </c>
      <c r="H64" s="478">
        <f t="shared" si="11"/>
        <v>49.823999999999984</v>
      </c>
      <c r="I64" s="662"/>
      <c r="J64" s="480">
        <v>90</v>
      </c>
      <c r="K64" s="480">
        <v>90</v>
      </c>
      <c r="L64" s="480">
        <v>100</v>
      </c>
      <c r="M64" s="478">
        <f t="shared" si="12"/>
        <v>3.733333333333333</v>
      </c>
      <c r="N64" s="478">
        <f t="shared" si="13"/>
        <v>0.09687999999999998</v>
      </c>
      <c r="O64" s="662"/>
      <c r="P64" s="662"/>
    </row>
    <row r="65" spans="1:16" s="481" customFormat="1" ht="14.25">
      <c r="A65" s="475">
        <v>55</v>
      </c>
      <c r="B65" s="659" t="str">
        <f>'[1]ф37,Ф30'!$L$29</f>
        <v>ТП-35</v>
      </c>
      <c r="C65" s="476" t="s">
        <v>794</v>
      </c>
      <c r="D65" s="476">
        <v>6</v>
      </c>
      <c r="E65" s="476">
        <v>630</v>
      </c>
      <c r="F65" s="483">
        <f t="shared" si="10"/>
        <v>535.5</v>
      </c>
      <c r="G65" s="477">
        <v>60.621</v>
      </c>
      <c r="H65" s="478">
        <f t="shared" si="11"/>
        <v>23.488457142857143</v>
      </c>
      <c r="I65" s="661">
        <f>H65+H66</f>
        <v>49.290171428571426</v>
      </c>
      <c r="J65" s="480">
        <v>59</v>
      </c>
      <c r="K65" s="480">
        <v>41</v>
      </c>
      <c r="L65" s="480">
        <v>32</v>
      </c>
      <c r="M65" s="478">
        <f t="shared" si="12"/>
        <v>1.76</v>
      </c>
      <c r="N65" s="478">
        <f t="shared" si="13"/>
        <v>0.029032843404100887</v>
      </c>
      <c r="O65" s="661">
        <f>F65-I65</f>
        <v>486.2098285714286</v>
      </c>
      <c r="P65" s="661">
        <f>O65/0.85</f>
        <v>572.0115630252101</v>
      </c>
    </row>
    <row r="66" spans="1:16" s="481" customFormat="1" ht="16.5" customHeight="1">
      <c r="A66" s="475">
        <v>56</v>
      </c>
      <c r="B66" s="660"/>
      <c r="C66" s="476" t="s">
        <v>795</v>
      </c>
      <c r="D66" s="476">
        <v>6</v>
      </c>
      <c r="E66" s="476">
        <v>400</v>
      </c>
      <c r="F66" s="483">
        <f t="shared" si="10"/>
        <v>340</v>
      </c>
      <c r="G66" s="477">
        <f t="shared" si="5"/>
        <v>38.53564547206166</v>
      </c>
      <c r="H66" s="478">
        <f t="shared" si="11"/>
        <v>25.801714285714286</v>
      </c>
      <c r="I66" s="662"/>
      <c r="J66" s="480">
        <v>59</v>
      </c>
      <c r="K66" s="480">
        <v>39</v>
      </c>
      <c r="L66" s="480">
        <v>47</v>
      </c>
      <c r="M66" s="478">
        <f t="shared" si="12"/>
        <v>1.9333333333333333</v>
      </c>
      <c r="N66" s="478">
        <f t="shared" si="13"/>
        <v>0.05017</v>
      </c>
      <c r="O66" s="662"/>
      <c r="P66" s="662"/>
    </row>
    <row r="67" spans="1:16" s="481" customFormat="1" ht="14.25">
      <c r="A67" s="475">
        <v>57</v>
      </c>
      <c r="B67" s="659" t="str">
        <f>'[1]ф37,Ф30'!$L$36</f>
        <v>ТП-41</v>
      </c>
      <c r="C67" s="476" t="s">
        <v>794</v>
      </c>
      <c r="D67" s="476">
        <v>6</v>
      </c>
      <c r="E67" s="476">
        <v>400</v>
      </c>
      <c r="F67" s="483">
        <f t="shared" si="10"/>
        <v>340</v>
      </c>
      <c r="G67" s="477">
        <f t="shared" si="5"/>
        <v>38.53564547206166</v>
      </c>
      <c r="H67" s="478">
        <f t="shared" si="11"/>
        <v>58.72114285714286</v>
      </c>
      <c r="I67" s="661">
        <f>H67+H68</f>
        <v>159.97062857142856</v>
      </c>
      <c r="J67" s="480">
        <v>100</v>
      </c>
      <c r="K67" s="480">
        <v>124</v>
      </c>
      <c r="L67" s="480">
        <v>106</v>
      </c>
      <c r="M67" s="478">
        <f t="shared" si="12"/>
        <v>4.4</v>
      </c>
      <c r="N67" s="478">
        <f t="shared" si="13"/>
        <v>0.11418</v>
      </c>
      <c r="O67" s="661">
        <f>F67-I67</f>
        <v>180.02937142857144</v>
      </c>
      <c r="P67" s="661">
        <f>O67/0.85</f>
        <v>211.7992605042017</v>
      </c>
    </row>
    <row r="68" spans="1:16" s="481" customFormat="1" ht="14.25">
      <c r="A68" s="475">
        <v>58</v>
      </c>
      <c r="B68" s="660"/>
      <c r="C68" s="476" t="s">
        <v>795</v>
      </c>
      <c r="D68" s="476">
        <v>6</v>
      </c>
      <c r="E68" s="476">
        <v>400</v>
      </c>
      <c r="F68" s="483">
        <f t="shared" si="10"/>
        <v>340</v>
      </c>
      <c r="G68" s="477">
        <f t="shared" si="5"/>
        <v>38.53564547206166</v>
      </c>
      <c r="H68" s="478">
        <f t="shared" si="11"/>
        <v>101.2494857142857</v>
      </c>
      <c r="I68" s="662"/>
      <c r="J68" s="480">
        <v>200</v>
      </c>
      <c r="K68" s="480">
        <v>200</v>
      </c>
      <c r="L68" s="480">
        <v>169</v>
      </c>
      <c r="M68" s="478">
        <f t="shared" si="12"/>
        <v>7.586666666666666</v>
      </c>
      <c r="N68" s="478">
        <f t="shared" si="13"/>
        <v>0.19687399999999997</v>
      </c>
      <c r="O68" s="662"/>
      <c r="P68" s="662"/>
    </row>
    <row r="69" spans="1:16" s="481" customFormat="1" ht="14.25">
      <c r="A69" s="475">
        <v>59</v>
      </c>
      <c r="B69" s="476" t="str">
        <f>'[1]ф37,Ф30'!$L$55</f>
        <v>ТП-43</v>
      </c>
      <c r="C69" s="476" t="s">
        <v>784</v>
      </c>
      <c r="D69" s="476">
        <v>6</v>
      </c>
      <c r="E69" s="476">
        <v>400</v>
      </c>
      <c r="F69" s="483">
        <f t="shared" si="10"/>
        <v>340</v>
      </c>
      <c r="G69" s="477">
        <f t="shared" si="5"/>
        <v>38.53564547206166</v>
      </c>
      <c r="H69" s="478">
        <f t="shared" si="11"/>
        <v>33.45325714285714</v>
      </c>
      <c r="I69" s="479">
        <f>H69</f>
        <v>33.45325714285714</v>
      </c>
      <c r="J69" s="480">
        <v>64</v>
      </c>
      <c r="K69" s="480">
        <v>70</v>
      </c>
      <c r="L69" s="480">
        <v>54</v>
      </c>
      <c r="M69" s="478">
        <f t="shared" si="12"/>
        <v>2.5066666666666664</v>
      </c>
      <c r="N69" s="478">
        <f t="shared" si="13"/>
        <v>0.065048</v>
      </c>
      <c r="O69" s="480">
        <f>F69-H69</f>
        <v>306.5467428571429</v>
      </c>
      <c r="P69" s="480">
        <f>O69/0.85</f>
        <v>360.64322689075635</v>
      </c>
    </row>
    <row r="70" spans="1:16" s="481" customFormat="1" ht="14.25">
      <c r="A70" s="475">
        <v>60</v>
      </c>
      <c r="B70" s="659" t="s">
        <v>809</v>
      </c>
      <c r="C70" s="476" t="s">
        <v>794</v>
      </c>
      <c r="D70" s="476">
        <v>6</v>
      </c>
      <c r="E70" s="476">
        <v>400</v>
      </c>
      <c r="F70" s="483">
        <f t="shared" si="10"/>
        <v>340</v>
      </c>
      <c r="G70" s="477">
        <f t="shared" si="5"/>
        <v>38.53564547206166</v>
      </c>
      <c r="H70" s="478">
        <f t="shared" si="11"/>
        <v>16.1928</v>
      </c>
      <c r="I70" s="661">
        <f>H70+H71</f>
        <v>129.36445714285713</v>
      </c>
      <c r="J70" s="480">
        <v>37</v>
      </c>
      <c r="K70" s="480">
        <v>28</v>
      </c>
      <c r="L70" s="480">
        <v>26</v>
      </c>
      <c r="M70" s="478">
        <f t="shared" si="12"/>
        <v>1.2133333333333334</v>
      </c>
      <c r="N70" s="478">
        <f t="shared" si="13"/>
        <v>0.031486</v>
      </c>
      <c r="O70" s="661">
        <f>F70-I70</f>
        <v>210.63554285714287</v>
      </c>
      <c r="P70" s="661">
        <f>O70/0.85</f>
        <v>247.80652100840337</v>
      </c>
    </row>
    <row r="71" spans="1:16" s="481" customFormat="1" ht="14.25">
      <c r="A71" s="475">
        <v>61</v>
      </c>
      <c r="B71" s="660"/>
      <c r="C71" s="476" t="s">
        <v>795</v>
      </c>
      <c r="D71" s="476">
        <v>6</v>
      </c>
      <c r="E71" s="476">
        <v>400</v>
      </c>
      <c r="F71" s="483">
        <f t="shared" si="10"/>
        <v>340</v>
      </c>
      <c r="G71" s="477">
        <f t="shared" si="5"/>
        <v>38.53564547206166</v>
      </c>
      <c r="H71" s="478">
        <f t="shared" si="11"/>
        <v>113.17165714285714</v>
      </c>
      <c r="I71" s="662"/>
      <c r="J71" s="488">
        <v>200</v>
      </c>
      <c r="K71" s="488">
        <v>221</v>
      </c>
      <c r="L71" s="488">
        <v>215</v>
      </c>
      <c r="M71" s="478">
        <f t="shared" si="12"/>
        <v>8.48</v>
      </c>
      <c r="N71" s="478">
        <f t="shared" si="13"/>
        <v>0.220056</v>
      </c>
      <c r="O71" s="662"/>
      <c r="P71" s="662"/>
    </row>
    <row r="72" spans="1:16" s="481" customFormat="1" ht="14.25">
      <c r="A72" s="475">
        <v>62</v>
      </c>
      <c r="B72" s="659" t="s">
        <v>810</v>
      </c>
      <c r="C72" s="476" t="s">
        <v>794</v>
      </c>
      <c r="D72" s="476">
        <v>6</v>
      </c>
      <c r="E72" s="476">
        <v>400</v>
      </c>
      <c r="F72" s="483">
        <f t="shared" si="10"/>
        <v>340</v>
      </c>
      <c r="G72" s="477">
        <f t="shared" si="5"/>
        <v>38.53564547206166</v>
      </c>
      <c r="H72" s="478">
        <f t="shared" si="11"/>
        <v>71.3550857142857</v>
      </c>
      <c r="I72" s="661">
        <f>H72+H73</f>
        <v>148.2441942857143</v>
      </c>
      <c r="J72" s="488">
        <v>155</v>
      </c>
      <c r="K72" s="488">
        <v>126</v>
      </c>
      <c r="L72" s="488">
        <v>120</v>
      </c>
      <c r="M72" s="478">
        <f t="shared" si="12"/>
        <v>5.346666666666667</v>
      </c>
      <c r="N72" s="478">
        <f t="shared" si="13"/>
        <v>0.13874599999999998</v>
      </c>
      <c r="O72" s="661">
        <f>F72-I72</f>
        <v>191.7558057142857</v>
      </c>
      <c r="P72" s="661">
        <f>O72/0.85</f>
        <v>225.5950655462185</v>
      </c>
    </row>
    <row r="73" spans="1:16" s="481" customFormat="1" ht="14.25">
      <c r="A73" s="475">
        <v>63</v>
      </c>
      <c r="B73" s="660"/>
      <c r="C73" s="476" t="s">
        <v>795</v>
      </c>
      <c r="D73" s="476">
        <v>6</v>
      </c>
      <c r="E73" s="476">
        <v>400</v>
      </c>
      <c r="F73" s="483">
        <f t="shared" si="10"/>
        <v>340</v>
      </c>
      <c r="G73" s="477">
        <f t="shared" si="5"/>
        <v>38.53564547206166</v>
      </c>
      <c r="H73" s="478">
        <f t="shared" si="11"/>
        <v>76.88910857142857</v>
      </c>
      <c r="I73" s="662"/>
      <c r="J73" s="488">
        <v>133</v>
      </c>
      <c r="K73" s="488">
        <v>137.7</v>
      </c>
      <c r="L73" s="488">
        <v>161.4</v>
      </c>
      <c r="M73" s="478">
        <f t="shared" si="12"/>
        <v>5.761333333333333</v>
      </c>
      <c r="N73" s="478">
        <f t="shared" si="13"/>
        <v>0.1495066</v>
      </c>
      <c r="O73" s="662"/>
      <c r="P73" s="662"/>
    </row>
    <row r="74" spans="1:16" s="481" customFormat="1" ht="14.25">
      <c r="A74" s="475">
        <v>64</v>
      </c>
      <c r="B74" s="659" t="str">
        <f>'[1]Ф15,Ф36'!$A$11</f>
        <v>ТП-66</v>
      </c>
      <c r="C74" s="476" t="s">
        <v>794</v>
      </c>
      <c r="D74" s="476">
        <v>6</v>
      </c>
      <c r="E74" s="476">
        <v>400</v>
      </c>
      <c r="F74" s="483">
        <f t="shared" si="10"/>
        <v>340</v>
      </c>
      <c r="G74" s="477">
        <f aca="true" t="shared" si="14" ref="G74:G133">E74/(1.73*D74)</f>
        <v>38.53564547206166</v>
      </c>
      <c r="H74" s="478">
        <f t="shared" si="11"/>
        <v>66.72857142857143</v>
      </c>
      <c r="I74" s="661">
        <f>H74+H75</f>
        <v>112.28194285714285</v>
      </c>
      <c r="J74" s="488">
        <v>101</v>
      </c>
      <c r="K74" s="488">
        <v>135</v>
      </c>
      <c r="L74" s="488">
        <v>139</v>
      </c>
      <c r="M74" s="478">
        <f t="shared" si="12"/>
        <v>5</v>
      </c>
      <c r="N74" s="478">
        <f t="shared" si="13"/>
        <v>0.12975</v>
      </c>
      <c r="O74" s="661">
        <f>F74-I74</f>
        <v>227.71805714285716</v>
      </c>
      <c r="P74" s="661">
        <f>O74/0.85</f>
        <v>267.9035966386555</v>
      </c>
    </row>
    <row r="75" spans="1:16" s="481" customFormat="1" ht="14.25">
      <c r="A75" s="475">
        <v>65</v>
      </c>
      <c r="B75" s="660"/>
      <c r="C75" s="476" t="s">
        <v>795</v>
      </c>
      <c r="D75" s="476">
        <v>6</v>
      </c>
      <c r="E75" s="476">
        <v>400</v>
      </c>
      <c r="F75" s="483">
        <f t="shared" si="10"/>
        <v>340</v>
      </c>
      <c r="G75" s="477">
        <f t="shared" si="14"/>
        <v>38.53564547206166</v>
      </c>
      <c r="H75" s="478">
        <f t="shared" si="11"/>
        <v>45.553371428571424</v>
      </c>
      <c r="I75" s="662"/>
      <c r="J75" s="488">
        <v>77</v>
      </c>
      <c r="K75" s="488">
        <v>77</v>
      </c>
      <c r="L75" s="488">
        <v>102</v>
      </c>
      <c r="M75" s="478">
        <f t="shared" si="12"/>
        <v>3.413333333333333</v>
      </c>
      <c r="N75" s="478">
        <f t="shared" si="13"/>
        <v>0.08857599999999999</v>
      </c>
      <c r="O75" s="662"/>
      <c r="P75" s="662"/>
    </row>
    <row r="76" spans="1:16" s="481" customFormat="1" ht="14.25">
      <c r="A76" s="475">
        <v>66</v>
      </c>
      <c r="B76" s="659" t="str">
        <f>'[1]Ф15,Ф36'!$A$24</f>
        <v>ТП-61</v>
      </c>
      <c r="C76" s="476" t="s">
        <v>794</v>
      </c>
      <c r="D76" s="476">
        <v>6</v>
      </c>
      <c r="E76" s="476">
        <v>400</v>
      </c>
      <c r="F76" s="483">
        <f t="shared" si="10"/>
        <v>340</v>
      </c>
      <c r="G76" s="477">
        <f t="shared" si="14"/>
        <v>38.53564547206166</v>
      </c>
      <c r="H76" s="478">
        <f t="shared" si="11"/>
        <v>71.3550857142857</v>
      </c>
      <c r="I76" s="661">
        <f>H76+H77</f>
        <v>147.15874285714284</v>
      </c>
      <c r="J76" s="488">
        <v>142</v>
      </c>
      <c r="K76" s="488">
        <v>129</v>
      </c>
      <c r="L76" s="488">
        <v>130</v>
      </c>
      <c r="M76" s="478">
        <f t="shared" si="12"/>
        <v>5.346666666666667</v>
      </c>
      <c r="N76" s="478">
        <f t="shared" si="13"/>
        <v>0.13874599999999998</v>
      </c>
      <c r="O76" s="661">
        <f>F76-I76</f>
        <v>192.84125714285716</v>
      </c>
      <c r="P76" s="661">
        <f>O76/0.85</f>
        <v>226.87206722689078</v>
      </c>
    </row>
    <row r="77" spans="1:16" s="481" customFormat="1" ht="14.25">
      <c r="A77" s="475">
        <v>67</v>
      </c>
      <c r="B77" s="660"/>
      <c r="C77" s="476" t="s">
        <v>795</v>
      </c>
      <c r="D77" s="476">
        <v>6</v>
      </c>
      <c r="E77" s="476">
        <v>400</v>
      </c>
      <c r="F77" s="483">
        <f t="shared" si="10"/>
        <v>340</v>
      </c>
      <c r="G77" s="477">
        <f t="shared" si="14"/>
        <v>38.53564547206166</v>
      </c>
      <c r="H77" s="478">
        <f t="shared" si="11"/>
        <v>75.80365714285713</v>
      </c>
      <c r="I77" s="662"/>
      <c r="J77" s="488">
        <v>153</v>
      </c>
      <c r="K77" s="488">
        <v>138</v>
      </c>
      <c r="L77" s="488">
        <v>135</v>
      </c>
      <c r="M77" s="478">
        <f t="shared" si="12"/>
        <v>5.68</v>
      </c>
      <c r="N77" s="478">
        <f t="shared" si="13"/>
        <v>0.14739599999999997</v>
      </c>
      <c r="O77" s="662"/>
      <c r="P77" s="662"/>
    </row>
    <row r="78" spans="1:16" s="481" customFormat="1" ht="14.25">
      <c r="A78" s="475">
        <v>68</v>
      </c>
      <c r="B78" s="659" t="str">
        <f>'[1]Ф15,Ф36'!$A$38</f>
        <v>ТП-49</v>
      </c>
      <c r="C78" s="476" t="s">
        <v>794</v>
      </c>
      <c r="D78" s="476">
        <v>6</v>
      </c>
      <c r="E78" s="476">
        <v>630</v>
      </c>
      <c r="F78" s="483">
        <f t="shared" si="10"/>
        <v>535.5</v>
      </c>
      <c r="G78" s="477">
        <v>60.621</v>
      </c>
      <c r="H78" s="478">
        <f t="shared" si="11"/>
        <v>155.34411428571428</v>
      </c>
      <c r="I78" s="661">
        <f>H78+H79</f>
        <v>324.03394285714285</v>
      </c>
      <c r="J78" s="488">
        <v>341</v>
      </c>
      <c r="K78" s="488">
        <v>257</v>
      </c>
      <c r="L78" s="488">
        <v>275</v>
      </c>
      <c r="M78" s="478">
        <f t="shared" si="12"/>
        <v>11.64</v>
      </c>
      <c r="N78" s="478">
        <f t="shared" si="13"/>
        <v>0.1920126688771218</v>
      </c>
      <c r="O78" s="661">
        <f>F78-I78</f>
        <v>211.46605714285715</v>
      </c>
      <c r="P78" s="661">
        <f>O78/0.85</f>
        <v>248.78359663865547</v>
      </c>
    </row>
    <row r="79" spans="1:16" s="481" customFormat="1" ht="14.25">
      <c r="A79" s="475">
        <v>69</v>
      </c>
      <c r="B79" s="660"/>
      <c r="C79" s="476" t="s">
        <v>795</v>
      </c>
      <c r="D79" s="476">
        <v>6</v>
      </c>
      <c r="E79" s="476">
        <v>630</v>
      </c>
      <c r="F79" s="483">
        <f t="shared" si="10"/>
        <v>535.5</v>
      </c>
      <c r="G79" s="477">
        <v>60.621</v>
      </c>
      <c r="H79" s="478">
        <f t="shared" si="11"/>
        <v>168.68982857142856</v>
      </c>
      <c r="I79" s="662"/>
      <c r="J79" s="488">
        <v>305</v>
      </c>
      <c r="K79" s="488">
        <v>313</v>
      </c>
      <c r="L79" s="488">
        <v>330</v>
      </c>
      <c r="M79" s="478">
        <f t="shared" si="12"/>
        <v>12.64</v>
      </c>
      <c r="N79" s="478">
        <f t="shared" si="13"/>
        <v>0.20850860262945184</v>
      </c>
      <c r="O79" s="662"/>
      <c r="P79" s="662"/>
    </row>
    <row r="80" spans="1:16" s="481" customFormat="1" ht="14.25">
      <c r="A80" s="475">
        <v>70</v>
      </c>
      <c r="B80" s="659" t="str">
        <f>'[1]Ф15,Ф36'!$A$54</f>
        <v>ТП-57</v>
      </c>
      <c r="C80" s="476" t="s">
        <v>794</v>
      </c>
      <c r="D80" s="476">
        <v>6</v>
      </c>
      <c r="E80" s="476">
        <v>400</v>
      </c>
      <c r="F80" s="483">
        <f t="shared" si="10"/>
        <v>340</v>
      </c>
      <c r="G80" s="477">
        <f t="shared" si="14"/>
        <v>38.53564547206166</v>
      </c>
      <c r="H80" s="478">
        <f t="shared" si="11"/>
        <v>185.06057142857142</v>
      </c>
      <c r="I80" s="661">
        <f>H80+H81</f>
        <v>225.98742857142855</v>
      </c>
      <c r="J80" s="480">
        <v>366</v>
      </c>
      <c r="K80" s="480">
        <v>315</v>
      </c>
      <c r="L80" s="480">
        <v>359</v>
      </c>
      <c r="M80" s="478">
        <f t="shared" si="12"/>
        <v>13.866666666666667</v>
      </c>
      <c r="N80" s="478">
        <f t="shared" si="13"/>
        <v>0.35984</v>
      </c>
      <c r="O80" s="661">
        <f>F80-I80</f>
        <v>114.01257142857145</v>
      </c>
      <c r="P80" s="661">
        <f>O80/0.85</f>
        <v>134.13243697478995</v>
      </c>
    </row>
    <row r="81" spans="1:16" s="481" customFormat="1" ht="14.25">
      <c r="A81" s="475">
        <v>71</v>
      </c>
      <c r="B81" s="660"/>
      <c r="C81" s="476" t="s">
        <v>795</v>
      </c>
      <c r="D81" s="476">
        <v>6</v>
      </c>
      <c r="E81" s="476">
        <v>400</v>
      </c>
      <c r="F81" s="483">
        <f t="shared" si="10"/>
        <v>340</v>
      </c>
      <c r="G81" s="477">
        <f t="shared" si="14"/>
        <v>38.53564547206166</v>
      </c>
      <c r="H81" s="478">
        <f t="shared" si="11"/>
        <v>40.926857142857145</v>
      </c>
      <c r="I81" s="662"/>
      <c r="J81" s="480">
        <v>75</v>
      </c>
      <c r="K81" s="480">
        <v>87</v>
      </c>
      <c r="L81" s="480">
        <v>68</v>
      </c>
      <c r="M81" s="478">
        <f t="shared" si="12"/>
        <v>3.066666666666667</v>
      </c>
      <c r="N81" s="478">
        <f t="shared" si="13"/>
        <v>0.07958</v>
      </c>
      <c r="O81" s="662"/>
      <c r="P81" s="662"/>
    </row>
    <row r="82" spans="1:16" s="481" customFormat="1" ht="14.25">
      <c r="A82" s="475">
        <v>72</v>
      </c>
      <c r="B82" s="659" t="str">
        <f>'[1]Ф15,Ф36'!$K$11</f>
        <v>ТП-59</v>
      </c>
      <c r="C82" s="476" t="s">
        <v>794</v>
      </c>
      <c r="D82" s="476">
        <v>6</v>
      </c>
      <c r="E82" s="476">
        <v>630</v>
      </c>
      <c r="F82" s="483">
        <f t="shared" si="10"/>
        <v>535.5</v>
      </c>
      <c r="G82" s="477">
        <v>60.621</v>
      </c>
      <c r="H82" s="478">
        <f t="shared" si="11"/>
        <v>42.3504</v>
      </c>
      <c r="I82" s="661">
        <f>H82+H83</f>
        <v>177.05314285714286</v>
      </c>
      <c r="J82" s="480">
        <v>76</v>
      </c>
      <c r="K82" s="480">
        <v>79</v>
      </c>
      <c r="L82" s="480">
        <v>83</v>
      </c>
      <c r="M82" s="478">
        <f t="shared" si="12"/>
        <v>3.1733333333333333</v>
      </c>
      <c r="N82" s="478">
        <f t="shared" si="13"/>
        <v>0.05234709644072736</v>
      </c>
      <c r="O82" s="661">
        <f>F82-I82</f>
        <v>358.44685714285714</v>
      </c>
      <c r="P82" s="661">
        <f>O82/0.85</f>
        <v>421.7021848739496</v>
      </c>
    </row>
    <row r="83" spans="1:16" s="481" customFormat="1" ht="14.25">
      <c r="A83" s="475">
        <v>73</v>
      </c>
      <c r="B83" s="660"/>
      <c r="C83" s="476" t="s">
        <v>795</v>
      </c>
      <c r="D83" s="476">
        <v>6</v>
      </c>
      <c r="E83" s="476">
        <v>400</v>
      </c>
      <c r="F83" s="483">
        <f t="shared" si="10"/>
        <v>340</v>
      </c>
      <c r="G83" s="477">
        <f t="shared" si="14"/>
        <v>38.53564547206166</v>
      </c>
      <c r="H83" s="478">
        <f t="shared" si="11"/>
        <v>134.70274285714285</v>
      </c>
      <c r="I83" s="662"/>
      <c r="J83" s="480">
        <v>271</v>
      </c>
      <c r="K83" s="480">
        <v>159</v>
      </c>
      <c r="L83" s="480">
        <v>327</v>
      </c>
      <c r="M83" s="478">
        <f t="shared" si="12"/>
        <v>10.093333333333334</v>
      </c>
      <c r="N83" s="478">
        <f t="shared" si="13"/>
        <v>0.261922</v>
      </c>
      <c r="O83" s="662"/>
      <c r="P83" s="662"/>
    </row>
    <row r="84" spans="1:16" s="481" customFormat="1" ht="14.25">
      <c r="A84" s="475">
        <v>74</v>
      </c>
      <c r="B84" s="659" t="str">
        <f>'[1]Ф15,Ф36'!$K$25</f>
        <v>ТП-62</v>
      </c>
      <c r="C84" s="476" t="s">
        <v>794</v>
      </c>
      <c r="D84" s="476">
        <v>6</v>
      </c>
      <c r="E84" s="476">
        <v>630</v>
      </c>
      <c r="F84" s="483">
        <f t="shared" si="10"/>
        <v>535.5</v>
      </c>
      <c r="G84" s="477">
        <v>60.621</v>
      </c>
      <c r="H84" s="478">
        <f t="shared" si="11"/>
        <v>126.69531428571429</v>
      </c>
      <c r="I84" s="661">
        <f>H84+H85</f>
        <v>163.70742857142858</v>
      </c>
      <c r="J84" s="480">
        <v>226</v>
      </c>
      <c r="K84" s="480">
        <v>225</v>
      </c>
      <c r="L84" s="480">
        <v>261</v>
      </c>
      <c r="M84" s="478">
        <f t="shared" si="12"/>
        <v>9.493333333333334</v>
      </c>
      <c r="N84" s="478">
        <f t="shared" si="13"/>
        <v>0.1566013977554533</v>
      </c>
      <c r="O84" s="661">
        <f>F84-I84</f>
        <v>371.7925714285714</v>
      </c>
      <c r="P84" s="661">
        <f>O84/0.85</f>
        <v>437.403025210084</v>
      </c>
    </row>
    <row r="85" spans="1:16" s="481" customFormat="1" ht="14.25">
      <c r="A85" s="475">
        <v>75</v>
      </c>
      <c r="B85" s="660"/>
      <c r="C85" s="476" t="s">
        <v>795</v>
      </c>
      <c r="D85" s="476">
        <v>6</v>
      </c>
      <c r="E85" s="476">
        <v>630</v>
      </c>
      <c r="F85" s="483">
        <f t="shared" si="10"/>
        <v>535.5</v>
      </c>
      <c r="G85" s="477">
        <v>60.621</v>
      </c>
      <c r="H85" s="478">
        <f t="shared" si="11"/>
        <v>37.012114285714276</v>
      </c>
      <c r="I85" s="662"/>
      <c r="J85" s="480">
        <v>60</v>
      </c>
      <c r="K85" s="480">
        <v>68</v>
      </c>
      <c r="L85" s="480">
        <v>80</v>
      </c>
      <c r="M85" s="478">
        <f t="shared" si="12"/>
        <v>2.773333333333333</v>
      </c>
      <c r="N85" s="478">
        <f t="shared" si="13"/>
        <v>0.04574872293979533</v>
      </c>
      <c r="O85" s="662"/>
      <c r="P85" s="662"/>
    </row>
    <row r="86" spans="1:16" s="481" customFormat="1" ht="14.25">
      <c r="A86" s="475">
        <v>76</v>
      </c>
      <c r="B86" s="659" t="str">
        <f>'[1]Ф15,Ф36'!$K$36</f>
        <v>ТП-92</v>
      </c>
      <c r="C86" s="476" t="s">
        <v>794</v>
      </c>
      <c r="D86" s="476">
        <v>6</v>
      </c>
      <c r="E86" s="476">
        <v>400</v>
      </c>
      <c r="F86" s="483">
        <f t="shared" si="10"/>
        <v>340</v>
      </c>
      <c r="G86" s="477">
        <f t="shared" si="14"/>
        <v>38.53564547206166</v>
      </c>
      <c r="H86" s="478">
        <f t="shared" si="11"/>
        <v>120.32495999999999</v>
      </c>
      <c r="I86" s="661">
        <f>H86+H87</f>
        <v>198.44187428571428</v>
      </c>
      <c r="J86" s="480">
        <v>225.4</v>
      </c>
      <c r="K86" s="480">
        <v>225.4</v>
      </c>
      <c r="L86" s="480">
        <v>225.4</v>
      </c>
      <c r="M86" s="478">
        <f t="shared" si="12"/>
        <v>9.016</v>
      </c>
      <c r="N86" s="478">
        <f t="shared" si="13"/>
        <v>0.23396519999999998</v>
      </c>
      <c r="O86" s="661">
        <f>F86-I86</f>
        <v>141.55812571428572</v>
      </c>
      <c r="P86" s="661">
        <f>O86/0.85</f>
        <v>166.53897142857144</v>
      </c>
    </row>
    <row r="87" spans="1:16" s="481" customFormat="1" ht="14.25">
      <c r="A87" s="475">
        <v>77</v>
      </c>
      <c r="B87" s="660"/>
      <c r="C87" s="476" t="s">
        <v>795</v>
      </c>
      <c r="D87" s="476">
        <v>6</v>
      </c>
      <c r="E87" s="476">
        <v>400</v>
      </c>
      <c r="F87" s="483">
        <f t="shared" si="10"/>
        <v>340</v>
      </c>
      <c r="G87" s="477">
        <f t="shared" si="14"/>
        <v>38.53564547206166</v>
      </c>
      <c r="H87" s="478">
        <f t="shared" si="11"/>
        <v>78.11691428571429</v>
      </c>
      <c r="I87" s="662"/>
      <c r="J87" s="480">
        <v>157.8</v>
      </c>
      <c r="K87" s="480">
        <v>161.9</v>
      </c>
      <c r="L87" s="480">
        <v>119.3</v>
      </c>
      <c r="M87" s="478">
        <f t="shared" si="12"/>
        <v>5.8533333333333335</v>
      </c>
      <c r="N87" s="478">
        <f t="shared" si="13"/>
        <v>0.151894</v>
      </c>
      <c r="O87" s="662"/>
      <c r="P87" s="662"/>
    </row>
    <row r="88" spans="1:16" s="481" customFormat="1" ht="14.25">
      <c r="A88" s="475">
        <v>78</v>
      </c>
      <c r="B88" s="659" t="str">
        <f>'[1]Ф15,Ф36'!$K$51</f>
        <v>ТП-53</v>
      </c>
      <c r="C88" s="476" t="s">
        <v>794</v>
      </c>
      <c r="D88" s="476">
        <v>6</v>
      </c>
      <c r="E88" s="476">
        <v>320</v>
      </c>
      <c r="F88" s="483">
        <f>E88*0.85</f>
        <v>272</v>
      </c>
      <c r="G88" s="477">
        <f t="shared" si="14"/>
        <v>30.82851637764933</v>
      </c>
      <c r="H88" s="478">
        <f t="shared" si="11"/>
        <v>12.811885714285713</v>
      </c>
      <c r="I88" s="661">
        <f>H88+H89</f>
        <v>36.65622857142857</v>
      </c>
      <c r="J88" s="480">
        <v>16</v>
      </c>
      <c r="K88" s="480">
        <v>9</v>
      </c>
      <c r="L88" s="480">
        <v>47</v>
      </c>
      <c r="M88" s="478">
        <f t="shared" si="12"/>
        <v>0.96</v>
      </c>
      <c r="N88" s="478">
        <f t="shared" si="13"/>
        <v>0.031139999999999994</v>
      </c>
      <c r="O88" s="661">
        <f>F88-I88</f>
        <v>235.34377142857142</v>
      </c>
      <c r="P88" s="661">
        <f>O88/0.85</f>
        <v>276.875025210084</v>
      </c>
    </row>
    <row r="89" spans="1:16" s="481" customFormat="1" ht="14.25">
      <c r="A89" s="475">
        <v>79</v>
      </c>
      <c r="B89" s="660"/>
      <c r="C89" s="476" t="s">
        <v>795</v>
      </c>
      <c r="D89" s="476">
        <v>6</v>
      </c>
      <c r="E89" s="476">
        <v>320</v>
      </c>
      <c r="F89" s="483">
        <f t="shared" si="10"/>
        <v>272</v>
      </c>
      <c r="G89" s="477">
        <f t="shared" si="14"/>
        <v>30.82851637764933</v>
      </c>
      <c r="H89" s="478">
        <f t="shared" si="11"/>
        <v>23.844342857142856</v>
      </c>
      <c r="I89" s="662"/>
      <c r="J89" s="480">
        <v>32</v>
      </c>
      <c r="K89" s="480">
        <v>95</v>
      </c>
      <c r="L89" s="480">
        <v>7</v>
      </c>
      <c r="M89" s="478">
        <f t="shared" si="12"/>
        <v>1.7866666666666666</v>
      </c>
      <c r="N89" s="478">
        <f t="shared" si="13"/>
        <v>0.05795499999999999</v>
      </c>
      <c r="O89" s="662"/>
      <c r="P89" s="662"/>
    </row>
    <row r="90" spans="1:16" s="481" customFormat="1" ht="14.25">
      <c r="A90" s="475">
        <v>80</v>
      </c>
      <c r="B90" s="659" t="str">
        <f>'[1]Ф15,Ф36'!$K$60</f>
        <v>ТП-46</v>
      </c>
      <c r="C90" s="476" t="s">
        <v>794</v>
      </c>
      <c r="D90" s="476">
        <v>6</v>
      </c>
      <c r="E90" s="476">
        <v>320</v>
      </c>
      <c r="F90" s="483">
        <f t="shared" si="10"/>
        <v>272</v>
      </c>
      <c r="G90" s="477">
        <f t="shared" si="14"/>
        <v>30.82851637764933</v>
      </c>
      <c r="H90" s="478">
        <f t="shared" si="11"/>
        <v>56.58582857142857</v>
      </c>
      <c r="I90" s="661">
        <f>H90+H91</f>
        <v>69.21977142857143</v>
      </c>
      <c r="J90" s="480">
        <v>109</v>
      </c>
      <c r="K90" s="480">
        <v>106</v>
      </c>
      <c r="L90" s="480">
        <v>103</v>
      </c>
      <c r="M90" s="478">
        <f t="shared" si="12"/>
        <v>4.24</v>
      </c>
      <c r="N90" s="478">
        <f t="shared" si="13"/>
        <v>0.137535</v>
      </c>
      <c r="O90" s="661">
        <f>F90-I90</f>
        <v>202.78022857142855</v>
      </c>
      <c r="P90" s="661">
        <f>O90/0.85</f>
        <v>238.56497478991594</v>
      </c>
    </row>
    <row r="91" spans="1:16" s="481" customFormat="1" ht="14.25">
      <c r="A91" s="475">
        <v>81</v>
      </c>
      <c r="B91" s="660"/>
      <c r="C91" s="476" t="s">
        <v>795</v>
      </c>
      <c r="D91" s="476">
        <v>6</v>
      </c>
      <c r="E91" s="476">
        <v>320</v>
      </c>
      <c r="F91" s="483">
        <f t="shared" si="10"/>
        <v>272</v>
      </c>
      <c r="G91" s="477">
        <f t="shared" si="14"/>
        <v>30.82851637764933</v>
      </c>
      <c r="H91" s="478">
        <f t="shared" si="11"/>
        <v>12.633942857142857</v>
      </c>
      <c r="I91" s="662"/>
      <c r="J91" s="480">
        <v>35</v>
      </c>
      <c r="K91" s="480">
        <v>23</v>
      </c>
      <c r="L91" s="480">
        <v>13</v>
      </c>
      <c r="M91" s="478">
        <f t="shared" si="12"/>
        <v>0.9466666666666668</v>
      </c>
      <c r="N91" s="478">
        <f t="shared" si="13"/>
        <v>0.0307075</v>
      </c>
      <c r="O91" s="662"/>
      <c r="P91" s="662"/>
    </row>
    <row r="92" spans="1:16" s="481" customFormat="1" ht="14.25">
      <c r="A92" s="475">
        <v>82</v>
      </c>
      <c r="B92" s="659" t="str">
        <f>'[1]Ф15,Ф36'!$K$68</f>
        <v>ТП-40</v>
      </c>
      <c r="C92" s="476" t="s">
        <v>794</v>
      </c>
      <c r="D92" s="476">
        <v>6</v>
      </c>
      <c r="E92" s="476">
        <v>400</v>
      </c>
      <c r="F92" s="483">
        <f t="shared" si="10"/>
        <v>340</v>
      </c>
      <c r="G92" s="477">
        <f t="shared" si="14"/>
        <v>38.53564547206166</v>
      </c>
      <c r="H92" s="478">
        <f t="shared" si="11"/>
        <v>140.75279999999998</v>
      </c>
      <c r="I92" s="661">
        <f>H92+H93</f>
        <v>252.14502857142853</v>
      </c>
      <c r="J92" s="480">
        <v>183</v>
      </c>
      <c r="K92" s="480">
        <v>303</v>
      </c>
      <c r="L92" s="480">
        <v>305</v>
      </c>
      <c r="M92" s="478">
        <f t="shared" si="12"/>
        <v>10.546666666666667</v>
      </c>
      <c r="N92" s="478">
        <f t="shared" si="13"/>
        <v>0.273686</v>
      </c>
      <c r="O92" s="661">
        <f>F92-I92</f>
        <v>87.85497142857147</v>
      </c>
      <c r="P92" s="661">
        <f>O92/0.85</f>
        <v>103.35878991596644</v>
      </c>
    </row>
    <row r="93" spans="1:16" s="481" customFormat="1" ht="14.25">
      <c r="A93" s="475">
        <v>83</v>
      </c>
      <c r="B93" s="660"/>
      <c r="C93" s="476" t="s">
        <v>795</v>
      </c>
      <c r="D93" s="476">
        <v>6</v>
      </c>
      <c r="E93" s="476">
        <v>400</v>
      </c>
      <c r="F93" s="483">
        <f t="shared" si="10"/>
        <v>340</v>
      </c>
      <c r="G93" s="477">
        <f t="shared" si="14"/>
        <v>38.53564547206166</v>
      </c>
      <c r="H93" s="478">
        <f t="shared" si="11"/>
        <v>111.39222857142855</v>
      </c>
      <c r="I93" s="662"/>
      <c r="J93" s="480">
        <v>236</v>
      </c>
      <c r="K93" s="480">
        <v>204</v>
      </c>
      <c r="L93" s="480">
        <v>186</v>
      </c>
      <c r="M93" s="478">
        <f t="shared" si="12"/>
        <v>8.346666666666666</v>
      </c>
      <c r="N93" s="478">
        <f t="shared" si="13"/>
        <v>0.21659599999999996</v>
      </c>
      <c r="O93" s="662"/>
      <c r="P93" s="662"/>
    </row>
    <row r="94" spans="1:16" s="481" customFormat="1" ht="14.25">
      <c r="A94" s="475">
        <v>84</v>
      </c>
      <c r="B94" s="659" t="str">
        <f>'[1]Ф15,Ф36'!$K$87</f>
        <v>ТП-63</v>
      </c>
      <c r="C94" s="476" t="s">
        <v>794</v>
      </c>
      <c r="D94" s="476">
        <v>6</v>
      </c>
      <c r="E94" s="476">
        <v>400</v>
      </c>
      <c r="F94" s="483">
        <f t="shared" si="10"/>
        <v>340</v>
      </c>
      <c r="G94" s="477">
        <f t="shared" si="14"/>
        <v>38.53564547206166</v>
      </c>
      <c r="H94" s="478">
        <f t="shared" si="11"/>
        <v>37.367999999999995</v>
      </c>
      <c r="I94" s="661">
        <f>H94+H95</f>
        <v>74.36231999999998</v>
      </c>
      <c r="J94" s="480">
        <v>83</v>
      </c>
      <c r="K94" s="480">
        <v>75</v>
      </c>
      <c r="L94" s="480">
        <v>52</v>
      </c>
      <c r="M94" s="478">
        <f t="shared" si="12"/>
        <v>2.8</v>
      </c>
      <c r="N94" s="478">
        <f t="shared" si="13"/>
        <v>0.07265999999999999</v>
      </c>
      <c r="O94" s="661">
        <f>F94-I94</f>
        <v>265.63768000000005</v>
      </c>
      <c r="P94" s="661">
        <f>O94/0.85</f>
        <v>312.5149176470589</v>
      </c>
    </row>
    <row r="95" spans="1:16" s="481" customFormat="1" ht="14.25">
      <c r="A95" s="475">
        <v>85</v>
      </c>
      <c r="B95" s="660"/>
      <c r="C95" s="476" t="s">
        <v>795</v>
      </c>
      <c r="D95" s="476">
        <v>6</v>
      </c>
      <c r="E95" s="476">
        <v>400</v>
      </c>
      <c r="F95" s="483">
        <f t="shared" si="10"/>
        <v>340</v>
      </c>
      <c r="G95" s="477">
        <f t="shared" si="14"/>
        <v>38.53564547206166</v>
      </c>
      <c r="H95" s="478">
        <f t="shared" si="11"/>
        <v>36.994319999999995</v>
      </c>
      <c r="I95" s="662"/>
      <c r="J95" s="480">
        <v>69.3</v>
      </c>
      <c r="K95" s="480">
        <v>69.3</v>
      </c>
      <c r="L95" s="480">
        <v>69.3</v>
      </c>
      <c r="M95" s="478">
        <f t="shared" si="12"/>
        <v>2.772</v>
      </c>
      <c r="N95" s="478">
        <f t="shared" si="13"/>
        <v>0.0719334</v>
      </c>
      <c r="O95" s="662"/>
      <c r="P95" s="662"/>
    </row>
    <row r="96" spans="1:16" s="481" customFormat="1" ht="18.75" customHeight="1">
      <c r="A96" s="475">
        <v>86</v>
      </c>
      <c r="B96" s="659" t="str">
        <f>'[1]Ф15,Ф36'!$K$97</f>
        <v>ТП-48</v>
      </c>
      <c r="C96" s="476" t="s">
        <v>794</v>
      </c>
      <c r="D96" s="476">
        <v>6</v>
      </c>
      <c r="E96" s="476">
        <v>630</v>
      </c>
      <c r="F96" s="483">
        <f t="shared" si="10"/>
        <v>535.5</v>
      </c>
      <c r="G96" s="477">
        <v>60.621</v>
      </c>
      <c r="H96" s="478">
        <f t="shared" si="11"/>
        <v>64.7712</v>
      </c>
      <c r="I96" s="661">
        <f>H96+H97</f>
        <v>109.9686857142857</v>
      </c>
      <c r="J96" s="480">
        <v>135</v>
      </c>
      <c r="K96" s="480">
        <v>114</v>
      </c>
      <c r="L96" s="480">
        <v>115</v>
      </c>
      <c r="M96" s="478">
        <f t="shared" si="12"/>
        <v>4.8533333333333335</v>
      </c>
      <c r="N96" s="478">
        <f t="shared" si="13"/>
        <v>0.08006026514464185</v>
      </c>
      <c r="O96" s="661">
        <f>F96-I96</f>
        <v>425.5313142857143</v>
      </c>
      <c r="P96" s="661">
        <f>O96/0.85</f>
        <v>500.6250756302521</v>
      </c>
    </row>
    <row r="97" spans="1:16" s="481" customFormat="1" ht="14.25">
      <c r="A97" s="475">
        <v>87</v>
      </c>
      <c r="B97" s="660"/>
      <c r="C97" s="476" t="s">
        <v>795</v>
      </c>
      <c r="D97" s="476">
        <v>6</v>
      </c>
      <c r="E97" s="476">
        <v>630</v>
      </c>
      <c r="F97" s="483">
        <f t="shared" si="10"/>
        <v>535.5</v>
      </c>
      <c r="G97" s="477">
        <v>60.621</v>
      </c>
      <c r="H97" s="478">
        <f t="shared" si="11"/>
        <v>45.19748571428571</v>
      </c>
      <c r="I97" s="662"/>
      <c r="J97" s="480">
        <v>104</v>
      </c>
      <c r="K97" s="480">
        <v>71</v>
      </c>
      <c r="L97" s="480">
        <v>79</v>
      </c>
      <c r="M97" s="478">
        <f t="shared" si="12"/>
        <v>3.3866666666666667</v>
      </c>
      <c r="N97" s="478">
        <f t="shared" si="13"/>
        <v>0.05586622897455777</v>
      </c>
      <c r="O97" s="662"/>
      <c r="P97" s="662"/>
    </row>
    <row r="98" spans="1:16" s="481" customFormat="1" ht="14.25">
      <c r="A98" s="475">
        <v>88</v>
      </c>
      <c r="B98" s="659" t="s">
        <v>811</v>
      </c>
      <c r="C98" s="476" t="s">
        <v>794</v>
      </c>
      <c r="D98" s="476">
        <v>6</v>
      </c>
      <c r="E98" s="476">
        <v>400</v>
      </c>
      <c r="F98" s="483">
        <f t="shared" si="10"/>
        <v>340</v>
      </c>
      <c r="G98" s="477">
        <f t="shared" si="14"/>
        <v>38.53564547206166</v>
      </c>
      <c r="H98" s="478">
        <f t="shared" si="11"/>
        <v>49.290171428571426</v>
      </c>
      <c r="I98" s="661">
        <f>H98+H99</f>
        <v>134.5248</v>
      </c>
      <c r="J98" s="480">
        <v>91</v>
      </c>
      <c r="K98" s="480">
        <v>113</v>
      </c>
      <c r="L98" s="480">
        <v>73</v>
      </c>
      <c r="M98" s="478">
        <f t="shared" si="12"/>
        <v>3.6933333333333334</v>
      </c>
      <c r="N98" s="478">
        <f t="shared" si="13"/>
        <v>0.095842</v>
      </c>
      <c r="O98" s="661">
        <f>F98-I98</f>
        <v>205.4752</v>
      </c>
      <c r="P98" s="661">
        <f>O98/0.85</f>
        <v>241.7355294117647</v>
      </c>
    </row>
    <row r="99" spans="1:16" s="481" customFormat="1" ht="14.25">
      <c r="A99" s="475">
        <v>89</v>
      </c>
      <c r="B99" s="660"/>
      <c r="C99" s="476" t="s">
        <v>795</v>
      </c>
      <c r="D99" s="476">
        <v>6</v>
      </c>
      <c r="E99" s="476">
        <v>400</v>
      </c>
      <c r="F99" s="483">
        <f t="shared" si="10"/>
        <v>340</v>
      </c>
      <c r="G99" s="477">
        <f t="shared" si="14"/>
        <v>38.53564547206166</v>
      </c>
      <c r="H99" s="478">
        <f t="shared" si="11"/>
        <v>85.23462857142857</v>
      </c>
      <c r="I99" s="662"/>
      <c r="J99" s="488">
        <v>132</v>
      </c>
      <c r="K99" s="488">
        <v>217</v>
      </c>
      <c r="L99" s="488">
        <v>130</v>
      </c>
      <c r="M99" s="478">
        <f t="shared" si="12"/>
        <v>6.386666666666667</v>
      </c>
      <c r="N99" s="478">
        <f t="shared" si="13"/>
        <v>0.165734</v>
      </c>
      <c r="O99" s="662"/>
      <c r="P99" s="662"/>
    </row>
    <row r="100" spans="1:16" s="481" customFormat="1" ht="14.25">
      <c r="A100" s="475">
        <v>90</v>
      </c>
      <c r="B100" s="659" t="str">
        <f>'[1]Ф15,Ф36'!$K$119</f>
        <v>ТП-52</v>
      </c>
      <c r="C100" s="476" t="s">
        <v>794</v>
      </c>
      <c r="D100" s="476">
        <v>6</v>
      </c>
      <c r="E100" s="476">
        <v>400</v>
      </c>
      <c r="F100" s="483">
        <f t="shared" si="10"/>
        <v>340</v>
      </c>
      <c r="G100" s="477">
        <f t="shared" si="14"/>
        <v>38.53564547206166</v>
      </c>
      <c r="H100" s="478">
        <f t="shared" si="11"/>
        <v>25.979657142857135</v>
      </c>
      <c r="I100" s="661">
        <f>H100+H101</f>
        <v>32.02971428571428</v>
      </c>
      <c r="J100" s="480">
        <v>51</v>
      </c>
      <c r="K100" s="480">
        <v>59</v>
      </c>
      <c r="L100" s="480">
        <v>36</v>
      </c>
      <c r="M100" s="478">
        <f t="shared" si="12"/>
        <v>1.9466666666666665</v>
      </c>
      <c r="N100" s="478">
        <f t="shared" si="13"/>
        <v>0.05051599999999999</v>
      </c>
      <c r="O100" s="661">
        <f>F100-I100</f>
        <v>307.97028571428575</v>
      </c>
      <c r="P100" s="661">
        <f>O100/0.85</f>
        <v>362.31798319327737</v>
      </c>
    </row>
    <row r="101" spans="1:16" s="481" customFormat="1" ht="14.25">
      <c r="A101" s="475">
        <v>91</v>
      </c>
      <c r="B101" s="660"/>
      <c r="C101" s="476" t="s">
        <v>795</v>
      </c>
      <c r="D101" s="476">
        <v>6</v>
      </c>
      <c r="E101" s="476">
        <v>400</v>
      </c>
      <c r="F101" s="483">
        <f t="shared" si="10"/>
        <v>340</v>
      </c>
      <c r="G101" s="477">
        <f t="shared" si="14"/>
        <v>38.53564547206166</v>
      </c>
      <c r="H101" s="478">
        <f t="shared" si="11"/>
        <v>6.050057142857143</v>
      </c>
      <c r="I101" s="662"/>
      <c r="J101" s="480">
        <v>17</v>
      </c>
      <c r="K101" s="480">
        <v>9</v>
      </c>
      <c r="L101" s="480">
        <v>8</v>
      </c>
      <c r="M101" s="478">
        <f t="shared" si="12"/>
        <v>0.45333333333333337</v>
      </c>
      <c r="N101" s="478">
        <f t="shared" si="13"/>
        <v>0.011764</v>
      </c>
      <c r="O101" s="662"/>
      <c r="P101" s="662"/>
    </row>
    <row r="102" spans="1:16" s="481" customFormat="1" ht="14.25">
      <c r="A102" s="475">
        <v>92</v>
      </c>
      <c r="B102" s="476" t="str">
        <f>'[1]Ф15,Ф36'!$K$126</f>
        <v>КТП-19</v>
      </c>
      <c r="C102" s="476" t="s">
        <v>784</v>
      </c>
      <c r="D102" s="476">
        <v>6</v>
      </c>
      <c r="E102" s="476">
        <v>400</v>
      </c>
      <c r="F102" s="483">
        <f t="shared" si="10"/>
        <v>340</v>
      </c>
      <c r="G102" s="477">
        <f t="shared" si="14"/>
        <v>38.53564547206166</v>
      </c>
      <c r="H102" s="478">
        <f t="shared" si="11"/>
        <v>46.265142857142855</v>
      </c>
      <c r="I102" s="479">
        <f>H102</f>
        <v>46.265142857142855</v>
      </c>
      <c r="J102" s="480">
        <v>72</v>
      </c>
      <c r="K102" s="480">
        <v>95</v>
      </c>
      <c r="L102" s="480">
        <v>93</v>
      </c>
      <c r="M102" s="478">
        <f t="shared" si="12"/>
        <v>3.466666666666667</v>
      </c>
      <c r="N102" s="478">
        <f t="shared" si="13"/>
        <v>0.08996</v>
      </c>
      <c r="O102" s="480">
        <f>F102-H102</f>
        <v>293.73485714285715</v>
      </c>
      <c r="P102" s="480">
        <f>O102/0.85</f>
        <v>345.57042016806724</v>
      </c>
    </row>
    <row r="103" spans="1:16" s="481" customFormat="1" ht="14.25">
      <c r="A103" s="475">
        <v>93</v>
      </c>
      <c r="B103" s="659" t="str">
        <f>'[1]Ф46,Ф29'!$A$4</f>
        <v>ТП-65</v>
      </c>
      <c r="C103" s="476" t="s">
        <v>794</v>
      </c>
      <c r="D103" s="476">
        <v>6</v>
      </c>
      <c r="E103" s="476">
        <v>400</v>
      </c>
      <c r="F103" s="483">
        <f t="shared" si="10"/>
        <v>340</v>
      </c>
      <c r="G103" s="477">
        <f t="shared" si="14"/>
        <v>38.53564547206166</v>
      </c>
      <c r="H103" s="478">
        <f t="shared" si="11"/>
        <v>47.51074285714286</v>
      </c>
      <c r="I103" s="661">
        <f>H103+H104</f>
        <v>82.92137142857143</v>
      </c>
      <c r="J103" s="480">
        <v>95</v>
      </c>
      <c r="K103" s="480">
        <v>85</v>
      </c>
      <c r="L103" s="480">
        <v>87</v>
      </c>
      <c r="M103" s="478">
        <f t="shared" si="12"/>
        <v>3.56</v>
      </c>
      <c r="N103" s="478">
        <f t="shared" si="13"/>
        <v>0.09238199999999999</v>
      </c>
      <c r="O103" s="661">
        <f>F103-I103</f>
        <v>257.07862857142857</v>
      </c>
      <c r="P103" s="661">
        <f>O103/0.85</f>
        <v>302.44544537815125</v>
      </c>
    </row>
    <row r="104" spans="1:16" s="481" customFormat="1" ht="14.25">
      <c r="A104" s="475">
        <v>94</v>
      </c>
      <c r="B104" s="660"/>
      <c r="C104" s="476" t="s">
        <v>795</v>
      </c>
      <c r="D104" s="476">
        <v>6</v>
      </c>
      <c r="E104" s="476">
        <v>400</v>
      </c>
      <c r="F104" s="483">
        <f t="shared" si="10"/>
        <v>340</v>
      </c>
      <c r="G104" s="477">
        <f t="shared" si="14"/>
        <v>38.53564547206166</v>
      </c>
      <c r="H104" s="478">
        <f t="shared" si="11"/>
        <v>35.41062857142857</v>
      </c>
      <c r="I104" s="662"/>
      <c r="J104" s="480">
        <v>66</v>
      </c>
      <c r="K104" s="480">
        <v>72</v>
      </c>
      <c r="L104" s="480">
        <v>61</v>
      </c>
      <c r="M104" s="478">
        <f t="shared" si="12"/>
        <v>2.6533333333333333</v>
      </c>
      <c r="N104" s="478">
        <f t="shared" si="13"/>
        <v>0.068854</v>
      </c>
      <c r="O104" s="662"/>
      <c r="P104" s="662"/>
    </row>
    <row r="105" spans="1:16" s="481" customFormat="1" ht="14.25">
      <c r="A105" s="475">
        <v>95</v>
      </c>
      <c r="B105" s="659" t="str">
        <f>'[1]Ф46,Ф29'!$A$15</f>
        <v>ТП-67</v>
      </c>
      <c r="C105" s="476" t="s">
        <v>794</v>
      </c>
      <c r="D105" s="476">
        <v>6</v>
      </c>
      <c r="E105" s="476">
        <v>400</v>
      </c>
      <c r="F105" s="483">
        <f t="shared" si="10"/>
        <v>340</v>
      </c>
      <c r="G105" s="477">
        <f t="shared" si="14"/>
        <v>38.53564547206166</v>
      </c>
      <c r="H105" s="478">
        <f t="shared" si="11"/>
        <v>81.67577142857142</v>
      </c>
      <c r="I105" s="661">
        <f>H105+H106</f>
        <v>170.29131428571426</v>
      </c>
      <c r="J105" s="480">
        <v>145</v>
      </c>
      <c r="K105" s="480">
        <v>167</v>
      </c>
      <c r="L105" s="480">
        <v>147</v>
      </c>
      <c r="M105" s="478">
        <f t="shared" si="12"/>
        <v>6.12</v>
      </c>
      <c r="N105" s="478">
        <f t="shared" si="13"/>
        <v>0.15881399999999998</v>
      </c>
      <c r="O105" s="661">
        <f>F105-I105</f>
        <v>169.70868571428574</v>
      </c>
      <c r="P105" s="661">
        <f>O105/0.85</f>
        <v>199.6572773109244</v>
      </c>
    </row>
    <row r="106" spans="1:16" s="481" customFormat="1" ht="14.25">
      <c r="A106" s="475">
        <v>96</v>
      </c>
      <c r="B106" s="660"/>
      <c r="C106" s="476" t="s">
        <v>795</v>
      </c>
      <c r="D106" s="476">
        <v>6</v>
      </c>
      <c r="E106" s="476">
        <v>400</v>
      </c>
      <c r="F106" s="483">
        <f t="shared" si="10"/>
        <v>340</v>
      </c>
      <c r="G106" s="477">
        <f t="shared" si="14"/>
        <v>38.53564547206166</v>
      </c>
      <c r="H106" s="478">
        <f t="shared" si="11"/>
        <v>88.61554285714284</v>
      </c>
      <c r="I106" s="662"/>
      <c r="J106" s="480">
        <v>180</v>
      </c>
      <c r="K106" s="480">
        <v>148</v>
      </c>
      <c r="L106" s="480">
        <v>170</v>
      </c>
      <c r="M106" s="478">
        <f t="shared" si="12"/>
        <v>6.64</v>
      </c>
      <c r="N106" s="478">
        <f t="shared" si="13"/>
        <v>0.172308</v>
      </c>
      <c r="O106" s="662"/>
      <c r="P106" s="662"/>
    </row>
    <row r="107" spans="1:16" s="481" customFormat="1" ht="14.25">
      <c r="A107" s="475">
        <v>97</v>
      </c>
      <c r="B107" s="659" t="str">
        <f>'[1]Ф46,Ф29'!$A$29</f>
        <v>ТП-68</v>
      </c>
      <c r="C107" s="476" t="s">
        <v>794</v>
      </c>
      <c r="D107" s="476">
        <v>6</v>
      </c>
      <c r="E107" s="476">
        <v>400</v>
      </c>
      <c r="F107" s="483">
        <f t="shared" si="10"/>
        <v>340</v>
      </c>
      <c r="G107" s="477">
        <f t="shared" si="14"/>
        <v>38.53564547206166</v>
      </c>
      <c r="H107" s="478">
        <f t="shared" si="11"/>
        <v>104.45245714285713</v>
      </c>
      <c r="I107" s="661">
        <f>H107+H108</f>
        <v>130.78799999999998</v>
      </c>
      <c r="J107" s="480">
        <v>195</v>
      </c>
      <c r="K107" s="480">
        <v>200</v>
      </c>
      <c r="L107" s="480">
        <v>192</v>
      </c>
      <c r="M107" s="478">
        <f t="shared" si="12"/>
        <v>7.826666666666666</v>
      </c>
      <c r="N107" s="478">
        <f t="shared" si="13"/>
        <v>0.20310199999999998</v>
      </c>
      <c r="O107" s="661">
        <f>F107-I107</f>
        <v>209.21200000000002</v>
      </c>
      <c r="P107" s="661">
        <f>O107/0.85</f>
        <v>246.13176470588238</v>
      </c>
    </row>
    <row r="108" spans="1:16" s="481" customFormat="1" ht="14.25">
      <c r="A108" s="475">
        <v>98</v>
      </c>
      <c r="B108" s="660"/>
      <c r="C108" s="476" t="s">
        <v>795</v>
      </c>
      <c r="D108" s="476">
        <v>6</v>
      </c>
      <c r="E108" s="476">
        <v>400</v>
      </c>
      <c r="F108" s="483">
        <f t="shared" si="10"/>
        <v>340</v>
      </c>
      <c r="G108" s="477">
        <f t="shared" si="14"/>
        <v>38.53564547206166</v>
      </c>
      <c r="H108" s="478">
        <f t="shared" si="11"/>
        <v>26.33554285714286</v>
      </c>
      <c r="I108" s="662"/>
      <c r="J108" s="480">
        <v>41</v>
      </c>
      <c r="K108" s="480">
        <v>68</v>
      </c>
      <c r="L108" s="480">
        <v>39</v>
      </c>
      <c r="M108" s="478">
        <f t="shared" si="12"/>
        <v>1.9733333333333334</v>
      </c>
      <c r="N108" s="478">
        <f t="shared" si="13"/>
        <v>0.051208</v>
      </c>
      <c r="O108" s="662"/>
      <c r="P108" s="662"/>
    </row>
    <row r="109" spans="1:16" s="481" customFormat="1" ht="14.25">
      <c r="A109" s="475">
        <v>99</v>
      </c>
      <c r="B109" s="659" t="str">
        <f>'[1]Ф46,Ф29'!$A$41</f>
        <v>ТП-69</v>
      </c>
      <c r="C109" s="476" t="s">
        <v>794</v>
      </c>
      <c r="D109" s="476">
        <v>6</v>
      </c>
      <c r="E109" s="476">
        <v>630</v>
      </c>
      <c r="F109" s="483">
        <f t="shared" si="10"/>
        <v>535.5</v>
      </c>
      <c r="G109" s="477">
        <v>60.621</v>
      </c>
      <c r="H109" s="478">
        <f t="shared" si="11"/>
        <v>58.72114285714286</v>
      </c>
      <c r="I109" s="661">
        <f>H109+H110</f>
        <v>159.97062857142856</v>
      </c>
      <c r="J109" s="480">
        <v>111</v>
      </c>
      <c r="K109" s="480">
        <v>124</v>
      </c>
      <c r="L109" s="480">
        <v>95</v>
      </c>
      <c r="M109" s="478">
        <f t="shared" si="12"/>
        <v>4.4</v>
      </c>
      <c r="N109" s="478">
        <f t="shared" si="13"/>
        <v>0.07258210851025222</v>
      </c>
      <c r="O109" s="661">
        <f>F109-I109</f>
        <v>375.52937142857144</v>
      </c>
      <c r="P109" s="661">
        <f>O109/0.85</f>
        <v>441.7992605042017</v>
      </c>
    </row>
    <row r="110" spans="1:16" s="481" customFormat="1" ht="14.25">
      <c r="A110" s="475">
        <v>100</v>
      </c>
      <c r="B110" s="660"/>
      <c r="C110" s="476" t="s">
        <v>795</v>
      </c>
      <c r="D110" s="476">
        <v>6</v>
      </c>
      <c r="E110" s="476">
        <v>400</v>
      </c>
      <c r="F110" s="483">
        <f t="shared" si="10"/>
        <v>340</v>
      </c>
      <c r="G110" s="477">
        <f t="shared" si="14"/>
        <v>38.53564547206166</v>
      </c>
      <c r="H110" s="478">
        <f t="shared" si="11"/>
        <v>101.2494857142857</v>
      </c>
      <c r="I110" s="662"/>
      <c r="J110" s="480">
        <v>174</v>
      </c>
      <c r="K110" s="480">
        <v>210</v>
      </c>
      <c r="L110" s="480">
        <v>185</v>
      </c>
      <c r="M110" s="478">
        <f t="shared" si="12"/>
        <v>7.586666666666666</v>
      </c>
      <c r="N110" s="478">
        <f t="shared" si="13"/>
        <v>0.19687399999999997</v>
      </c>
      <c r="O110" s="662"/>
      <c r="P110" s="662"/>
    </row>
    <row r="111" spans="1:16" s="481" customFormat="1" ht="14.25">
      <c r="A111" s="475">
        <v>101</v>
      </c>
      <c r="B111" s="659" t="str">
        <f>'[1]Ф46,Ф29'!$A$55</f>
        <v>ТП-42</v>
      </c>
      <c r="C111" s="476" t="s">
        <v>794</v>
      </c>
      <c r="D111" s="476">
        <v>6</v>
      </c>
      <c r="E111" s="476">
        <v>400</v>
      </c>
      <c r="F111" s="483">
        <f t="shared" si="10"/>
        <v>340</v>
      </c>
      <c r="G111" s="477">
        <f t="shared" si="14"/>
        <v>38.53564547206166</v>
      </c>
      <c r="H111" s="478">
        <f t="shared" si="11"/>
        <v>40.570971428571426</v>
      </c>
      <c r="I111" s="661">
        <f>H111+H112</f>
        <v>117.62022857142857</v>
      </c>
      <c r="J111" s="480">
        <v>75</v>
      </c>
      <c r="K111" s="480">
        <v>83</v>
      </c>
      <c r="L111" s="480">
        <v>70</v>
      </c>
      <c r="M111" s="478">
        <f t="shared" si="12"/>
        <v>3.04</v>
      </c>
      <c r="N111" s="478">
        <f t="shared" si="13"/>
        <v>0.078888</v>
      </c>
      <c r="O111" s="661">
        <f>F111-I111</f>
        <v>222.37977142857142</v>
      </c>
      <c r="P111" s="661">
        <f>O111/0.85</f>
        <v>261.62326050420165</v>
      </c>
    </row>
    <row r="112" spans="1:16" s="481" customFormat="1" ht="14.25">
      <c r="A112" s="475">
        <v>102</v>
      </c>
      <c r="B112" s="660"/>
      <c r="C112" s="476" t="s">
        <v>795</v>
      </c>
      <c r="D112" s="476">
        <v>6</v>
      </c>
      <c r="E112" s="476">
        <v>400</v>
      </c>
      <c r="F112" s="483">
        <f t="shared" si="10"/>
        <v>340</v>
      </c>
      <c r="G112" s="477">
        <f t="shared" si="14"/>
        <v>38.53564547206166</v>
      </c>
      <c r="H112" s="478">
        <f t="shared" si="11"/>
        <v>77.04925714285714</v>
      </c>
      <c r="I112" s="662"/>
      <c r="J112" s="480">
        <v>140</v>
      </c>
      <c r="K112" s="480">
        <v>150</v>
      </c>
      <c r="L112" s="480">
        <v>143</v>
      </c>
      <c r="M112" s="478">
        <f t="shared" si="12"/>
        <v>5.773333333333333</v>
      </c>
      <c r="N112" s="478">
        <f t="shared" si="13"/>
        <v>0.14981799999999998</v>
      </c>
      <c r="O112" s="662"/>
      <c r="P112" s="662"/>
    </row>
    <row r="113" spans="1:16" s="481" customFormat="1" ht="14.25">
      <c r="A113" s="475">
        <v>103</v>
      </c>
      <c r="B113" s="659" t="str">
        <f>'[1]Ф46,Ф29'!$A$71</f>
        <v>ТП-44</v>
      </c>
      <c r="C113" s="476" t="s">
        <v>794</v>
      </c>
      <c r="D113" s="476">
        <v>6</v>
      </c>
      <c r="E113" s="476">
        <v>400</v>
      </c>
      <c r="F113" s="483">
        <f t="shared" si="10"/>
        <v>340</v>
      </c>
      <c r="G113" s="477">
        <f t="shared" si="14"/>
        <v>38.53564547206166</v>
      </c>
      <c r="H113" s="478">
        <f t="shared" si="11"/>
        <v>36.1224</v>
      </c>
      <c r="I113" s="661">
        <f>H113+H114</f>
        <v>114.23931428571429</v>
      </c>
      <c r="J113" s="480">
        <v>67</v>
      </c>
      <c r="K113" s="480">
        <v>53</v>
      </c>
      <c r="L113" s="480">
        <v>83</v>
      </c>
      <c r="M113" s="478">
        <f t="shared" si="12"/>
        <v>2.706666666666667</v>
      </c>
      <c r="N113" s="478">
        <f t="shared" si="13"/>
        <v>0.07023800000000001</v>
      </c>
      <c r="O113" s="661">
        <f>F113-I113</f>
        <v>225.76068571428573</v>
      </c>
      <c r="P113" s="661">
        <f>O113/0.85</f>
        <v>265.6008067226891</v>
      </c>
    </row>
    <row r="114" spans="1:16" s="481" customFormat="1" ht="14.25">
      <c r="A114" s="475">
        <v>104</v>
      </c>
      <c r="B114" s="660"/>
      <c r="C114" s="476" t="s">
        <v>795</v>
      </c>
      <c r="D114" s="476">
        <v>6</v>
      </c>
      <c r="E114" s="476">
        <v>400</v>
      </c>
      <c r="F114" s="483">
        <f t="shared" si="10"/>
        <v>340</v>
      </c>
      <c r="G114" s="477">
        <f t="shared" si="14"/>
        <v>38.53564547206166</v>
      </c>
      <c r="H114" s="478">
        <f t="shared" si="11"/>
        <v>78.11691428571429</v>
      </c>
      <c r="I114" s="662"/>
      <c r="J114" s="480">
        <v>133</v>
      </c>
      <c r="K114" s="480">
        <v>165</v>
      </c>
      <c r="L114" s="480">
        <v>141</v>
      </c>
      <c r="M114" s="478">
        <f t="shared" si="12"/>
        <v>5.8533333333333335</v>
      </c>
      <c r="N114" s="478">
        <f t="shared" si="13"/>
        <v>0.151894</v>
      </c>
      <c r="O114" s="662"/>
      <c r="P114" s="662"/>
    </row>
    <row r="115" spans="1:16" s="481" customFormat="1" ht="14.25">
      <c r="A115" s="475">
        <v>105</v>
      </c>
      <c r="B115" s="659" t="str">
        <f>'[1]Ф46,Ф29'!$A$84</f>
        <v>ТП-47</v>
      </c>
      <c r="C115" s="476" t="s">
        <v>794</v>
      </c>
      <c r="D115" s="476">
        <v>6</v>
      </c>
      <c r="E115" s="476">
        <v>630</v>
      </c>
      <c r="F115" s="483">
        <f aca="true" t="shared" si="15" ref="F115:F133">E115*0.85</f>
        <v>535.5</v>
      </c>
      <c r="G115" s="477">
        <f t="shared" si="14"/>
        <v>60.69364161849712</v>
      </c>
      <c r="H115" s="478">
        <f aca="true" t="shared" si="16" ref="H115:H133">1.73*D115*0.9*M115/0.7</f>
        <v>89.14937142857141</v>
      </c>
      <c r="I115" s="661">
        <f>H115+H116</f>
        <v>178.29874285714283</v>
      </c>
      <c r="J115" s="480">
        <v>140</v>
      </c>
      <c r="K115" s="480">
        <v>183</v>
      </c>
      <c r="L115" s="480">
        <v>178</v>
      </c>
      <c r="M115" s="478">
        <f aca="true" t="shared" si="17" ref="M115:M133">(J115+K115+L115)/3/25</f>
        <v>6.68</v>
      </c>
      <c r="N115" s="478">
        <f aca="true" t="shared" si="18" ref="N115:N133">M115/G115</f>
        <v>0.11006095238095236</v>
      </c>
      <c r="O115" s="661">
        <f>F115-I115</f>
        <v>357.2012571428572</v>
      </c>
      <c r="P115" s="661">
        <f>O115/0.85</f>
        <v>420.23677310924376</v>
      </c>
    </row>
    <row r="116" spans="1:16" s="481" customFormat="1" ht="14.25">
      <c r="A116" s="475">
        <v>106</v>
      </c>
      <c r="B116" s="660"/>
      <c r="C116" s="476" t="s">
        <v>795</v>
      </c>
      <c r="D116" s="476">
        <v>6</v>
      </c>
      <c r="E116" s="476">
        <v>320</v>
      </c>
      <c r="F116" s="483">
        <f t="shared" si="15"/>
        <v>272</v>
      </c>
      <c r="G116" s="477">
        <f t="shared" si="14"/>
        <v>30.82851637764933</v>
      </c>
      <c r="H116" s="478">
        <f t="shared" si="16"/>
        <v>89.14937142857141</v>
      </c>
      <c r="I116" s="662"/>
      <c r="J116" s="480">
        <v>178</v>
      </c>
      <c r="K116" s="480">
        <v>149</v>
      </c>
      <c r="L116" s="480">
        <v>174</v>
      </c>
      <c r="M116" s="478">
        <f t="shared" si="17"/>
        <v>6.68</v>
      </c>
      <c r="N116" s="478">
        <f t="shared" si="18"/>
        <v>0.21668249999999997</v>
      </c>
      <c r="O116" s="662"/>
      <c r="P116" s="662"/>
    </row>
    <row r="117" spans="1:16" s="481" customFormat="1" ht="14.25">
      <c r="A117" s="475">
        <v>107</v>
      </c>
      <c r="B117" s="659" t="str">
        <f>'[1]Ф46,Ф29'!$K$4</f>
        <v>ТП-54</v>
      </c>
      <c r="C117" s="476" t="s">
        <v>794</v>
      </c>
      <c r="D117" s="476">
        <v>6</v>
      </c>
      <c r="E117" s="476">
        <v>320</v>
      </c>
      <c r="F117" s="483">
        <f t="shared" si="15"/>
        <v>272</v>
      </c>
      <c r="G117" s="477">
        <f t="shared" si="14"/>
        <v>30.82851637764933</v>
      </c>
      <c r="H117" s="478">
        <f t="shared" si="16"/>
        <v>78.29485714285713</v>
      </c>
      <c r="I117" s="661">
        <f>H117+H118</f>
        <v>117.88714285714283</v>
      </c>
      <c r="J117" s="480">
        <v>157</v>
      </c>
      <c r="K117" s="480">
        <v>158</v>
      </c>
      <c r="L117" s="480">
        <v>125</v>
      </c>
      <c r="M117" s="478">
        <f t="shared" si="17"/>
        <v>5.866666666666666</v>
      </c>
      <c r="N117" s="478">
        <f t="shared" si="18"/>
        <v>0.19029999999999997</v>
      </c>
      <c r="O117" s="661">
        <f>F117-I117</f>
        <v>154.11285714285717</v>
      </c>
      <c r="P117" s="661">
        <f>O117/0.85</f>
        <v>181.30924369747902</v>
      </c>
    </row>
    <row r="118" spans="1:16" s="481" customFormat="1" ht="14.25">
      <c r="A118" s="475">
        <v>108</v>
      </c>
      <c r="B118" s="660"/>
      <c r="C118" s="476" t="s">
        <v>795</v>
      </c>
      <c r="D118" s="476">
        <v>6</v>
      </c>
      <c r="E118" s="476">
        <v>400</v>
      </c>
      <c r="F118" s="483">
        <f t="shared" si="15"/>
        <v>340</v>
      </c>
      <c r="G118" s="477">
        <f t="shared" si="14"/>
        <v>38.53564547206166</v>
      </c>
      <c r="H118" s="478">
        <f t="shared" si="16"/>
        <v>39.592285714285715</v>
      </c>
      <c r="I118" s="662"/>
      <c r="J118" s="480">
        <v>84.5</v>
      </c>
      <c r="K118" s="480">
        <v>82</v>
      </c>
      <c r="L118" s="480">
        <v>56</v>
      </c>
      <c r="M118" s="478">
        <f t="shared" si="17"/>
        <v>2.966666666666667</v>
      </c>
      <c r="N118" s="478">
        <f t="shared" si="18"/>
        <v>0.076985</v>
      </c>
      <c r="O118" s="662"/>
      <c r="P118" s="662"/>
    </row>
    <row r="119" spans="1:16" s="481" customFormat="1" ht="14.25">
      <c r="A119" s="475">
        <v>109</v>
      </c>
      <c r="B119" s="659" t="str">
        <f>'[1]Ф46,Ф29'!$K$18</f>
        <v>ТП-82</v>
      </c>
      <c r="C119" s="476" t="s">
        <v>794</v>
      </c>
      <c r="D119" s="476">
        <v>6</v>
      </c>
      <c r="E119" s="476">
        <v>400</v>
      </c>
      <c r="F119" s="483">
        <f t="shared" si="15"/>
        <v>340</v>
      </c>
      <c r="G119" s="477">
        <f t="shared" si="14"/>
        <v>38.53564547206166</v>
      </c>
      <c r="H119" s="478">
        <f t="shared" si="16"/>
        <v>43.95188571428571</v>
      </c>
      <c r="I119" s="661">
        <f>H119+H120</f>
        <v>83.45519999999999</v>
      </c>
      <c r="J119" s="480">
        <v>72</v>
      </c>
      <c r="K119" s="480">
        <v>88</v>
      </c>
      <c r="L119" s="480">
        <v>87</v>
      </c>
      <c r="M119" s="478">
        <f t="shared" si="17"/>
        <v>3.293333333333333</v>
      </c>
      <c r="N119" s="478">
        <f t="shared" si="18"/>
        <v>0.08546199999999998</v>
      </c>
      <c r="O119" s="661">
        <f>F119-I119</f>
        <v>256.5448</v>
      </c>
      <c r="P119" s="661">
        <f>O119/0.85</f>
        <v>301.8174117647059</v>
      </c>
    </row>
    <row r="120" spans="1:16" s="481" customFormat="1" ht="14.25">
      <c r="A120" s="475">
        <v>110</v>
      </c>
      <c r="B120" s="660"/>
      <c r="C120" s="476" t="s">
        <v>795</v>
      </c>
      <c r="D120" s="476">
        <v>6</v>
      </c>
      <c r="E120" s="476">
        <v>400</v>
      </c>
      <c r="F120" s="483">
        <f t="shared" si="15"/>
        <v>340</v>
      </c>
      <c r="G120" s="477">
        <f t="shared" si="14"/>
        <v>38.53564547206166</v>
      </c>
      <c r="H120" s="478">
        <f t="shared" si="16"/>
        <v>39.50331428571428</v>
      </c>
      <c r="I120" s="662"/>
      <c r="J120" s="480">
        <v>89</v>
      </c>
      <c r="K120" s="480">
        <v>67</v>
      </c>
      <c r="L120" s="480">
        <v>66</v>
      </c>
      <c r="M120" s="478">
        <f t="shared" si="17"/>
        <v>2.96</v>
      </c>
      <c r="N120" s="478">
        <f t="shared" si="18"/>
        <v>0.07681199999999999</v>
      </c>
      <c r="O120" s="662"/>
      <c r="P120" s="662"/>
    </row>
    <row r="121" spans="1:16" s="481" customFormat="1" ht="14.25">
      <c r="A121" s="475">
        <v>111</v>
      </c>
      <c r="B121" s="659" t="str">
        <f>'[1]Ф46,Ф29'!$K$45</f>
        <v>ТП-51</v>
      </c>
      <c r="C121" s="476" t="s">
        <v>794</v>
      </c>
      <c r="D121" s="476">
        <v>6</v>
      </c>
      <c r="E121" s="476">
        <v>400</v>
      </c>
      <c r="F121" s="483">
        <f t="shared" si="15"/>
        <v>340</v>
      </c>
      <c r="G121" s="477">
        <f t="shared" si="14"/>
        <v>38.53564547206166</v>
      </c>
      <c r="H121" s="478">
        <f t="shared" si="16"/>
        <v>59.61085714285714</v>
      </c>
      <c r="I121" s="661">
        <f>H121+H122</f>
        <v>92.35234285714286</v>
      </c>
      <c r="J121" s="480">
        <v>108</v>
      </c>
      <c r="K121" s="480">
        <v>100</v>
      </c>
      <c r="L121" s="480">
        <v>127</v>
      </c>
      <c r="M121" s="478">
        <f t="shared" si="17"/>
        <v>4.466666666666667</v>
      </c>
      <c r="N121" s="478">
        <f t="shared" si="18"/>
        <v>0.11591</v>
      </c>
      <c r="O121" s="661">
        <f>F121-I121</f>
        <v>247.64765714285716</v>
      </c>
      <c r="P121" s="661">
        <f>O121/0.85</f>
        <v>291.3501848739496</v>
      </c>
    </row>
    <row r="122" spans="1:16" s="481" customFormat="1" ht="14.25">
      <c r="A122" s="475">
        <v>112</v>
      </c>
      <c r="B122" s="660"/>
      <c r="C122" s="476" t="s">
        <v>795</v>
      </c>
      <c r="D122" s="476">
        <v>6</v>
      </c>
      <c r="E122" s="476">
        <v>400</v>
      </c>
      <c r="F122" s="483">
        <f t="shared" si="15"/>
        <v>340</v>
      </c>
      <c r="G122" s="477">
        <f t="shared" si="14"/>
        <v>38.53564547206166</v>
      </c>
      <c r="H122" s="478">
        <f t="shared" si="16"/>
        <v>32.741485714285716</v>
      </c>
      <c r="I122" s="662"/>
      <c r="J122" s="480">
        <v>45</v>
      </c>
      <c r="K122" s="480">
        <v>73</v>
      </c>
      <c r="L122" s="480">
        <v>66</v>
      </c>
      <c r="M122" s="478">
        <f t="shared" si="17"/>
        <v>2.4533333333333336</v>
      </c>
      <c r="N122" s="478">
        <f t="shared" si="18"/>
        <v>0.063664</v>
      </c>
      <c r="O122" s="662"/>
      <c r="P122" s="662"/>
    </row>
    <row r="123" spans="1:16" s="481" customFormat="1" ht="14.25">
      <c r="A123" s="475">
        <v>113</v>
      </c>
      <c r="B123" s="489" t="str">
        <f>'[1]Ф46,Ф29'!$K$58</f>
        <v>КТП-55</v>
      </c>
      <c r="C123" s="476" t="s">
        <v>784</v>
      </c>
      <c r="D123" s="476">
        <v>6</v>
      </c>
      <c r="E123" s="476">
        <v>630</v>
      </c>
      <c r="F123" s="483">
        <f t="shared" si="15"/>
        <v>535.5</v>
      </c>
      <c r="G123" s="477">
        <v>60.621</v>
      </c>
      <c r="H123" s="478">
        <f t="shared" si="16"/>
        <v>19.03988571428571</v>
      </c>
      <c r="I123" s="479">
        <f>H123</f>
        <v>19.03988571428571</v>
      </c>
      <c r="J123" s="480">
        <v>33</v>
      </c>
      <c r="K123" s="480">
        <v>41</v>
      </c>
      <c r="L123" s="480">
        <v>33</v>
      </c>
      <c r="M123" s="478">
        <f t="shared" si="17"/>
        <v>1.4266666666666665</v>
      </c>
      <c r="N123" s="478">
        <f t="shared" si="18"/>
        <v>0.02353419881999087</v>
      </c>
      <c r="O123" s="480">
        <f aca="true" t="shared" si="19" ref="O123:O128">F123-I123</f>
        <v>516.4601142857143</v>
      </c>
      <c r="P123" s="480">
        <f aca="true" t="shared" si="20" ref="P123:P128">O123/0.85</f>
        <v>607.6001344537816</v>
      </c>
    </row>
    <row r="124" spans="1:16" s="481" customFormat="1" ht="14.25">
      <c r="A124" s="475">
        <v>114</v>
      </c>
      <c r="B124" s="476" t="str">
        <f>'[1]Ф46,Ф29'!$K$65</f>
        <v>ТП-64</v>
      </c>
      <c r="C124" s="476" t="s">
        <v>784</v>
      </c>
      <c r="D124" s="476">
        <v>6</v>
      </c>
      <c r="E124" s="476">
        <v>400</v>
      </c>
      <c r="F124" s="483">
        <f t="shared" si="15"/>
        <v>340</v>
      </c>
      <c r="G124" s="477">
        <f t="shared" si="14"/>
        <v>38.53564547206166</v>
      </c>
      <c r="H124" s="478">
        <f t="shared" si="16"/>
        <v>38.257714285714286</v>
      </c>
      <c r="I124" s="479">
        <f>H124</f>
        <v>38.257714285714286</v>
      </c>
      <c r="J124" s="480">
        <v>83</v>
      </c>
      <c r="K124" s="480">
        <v>61</v>
      </c>
      <c r="L124" s="480">
        <v>71</v>
      </c>
      <c r="M124" s="478">
        <f t="shared" si="17"/>
        <v>2.8666666666666667</v>
      </c>
      <c r="N124" s="478">
        <f t="shared" si="18"/>
        <v>0.07439</v>
      </c>
      <c r="O124" s="480">
        <f t="shared" si="19"/>
        <v>301.7422857142857</v>
      </c>
      <c r="P124" s="480">
        <f t="shared" si="20"/>
        <v>354.99092436974786</v>
      </c>
    </row>
    <row r="125" spans="1:16" s="481" customFormat="1" ht="14.25">
      <c r="A125" s="475">
        <v>115</v>
      </c>
      <c r="B125" s="476" t="str">
        <f>'[1]Ф46,Ф29'!$K$72</f>
        <v>КТП-18</v>
      </c>
      <c r="C125" s="476" t="s">
        <v>784</v>
      </c>
      <c r="D125" s="476">
        <v>6</v>
      </c>
      <c r="E125" s="476">
        <v>400</v>
      </c>
      <c r="F125" s="483">
        <f t="shared" si="15"/>
        <v>340</v>
      </c>
      <c r="G125" s="477">
        <f t="shared" si="14"/>
        <v>38.53564547206166</v>
      </c>
      <c r="H125" s="478">
        <f t="shared" si="16"/>
        <v>0</v>
      </c>
      <c r="I125" s="479">
        <f>H125</f>
        <v>0</v>
      </c>
      <c r="J125" s="480">
        <v>0</v>
      </c>
      <c r="K125" s="480">
        <v>0</v>
      </c>
      <c r="L125" s="480">
        <v>0</v>
      </c>
      <c r="M125" s="478">
        <f t="shared" si="17"/>
        <v>0</v>
      </c>
      <c r="N125" s="478">
        <f t="shared" si="18"/>
        <v>0</v>
      </c>
      <c r="O125" s="480">
        <f t="shared" si="19"/>
        <v>340</v>
      </c>
      <c r="P125" s="480">
        <f t="shared" si="20"/>
        <v>400</v>
      </c>
    </row>
    <row r="126" spans="1:16" s="481" customFormat="1" ht="14.25">
      <c r="A126" s="475">
        <v>116</v>
      </c>
      <c r="B126" s="476" t="str">
        <f>'[1]Ф46,Ф29'!$K$78</f>
        <v>КТП-20</v>
      </c>
      <c r="C126" s="476" t="s">
        <v>784</v>
      </c>
      <c r="D126" s="476">
        <v>6</v>
      </c>
      <c r="E126" s="476">
        <v>630</v>
      </c>
      <c r="F126" s="483">
        <f t="shared" si="15"/>
        <v>535.5</v>
      </c>
      <c r="G126" s="477">
        <v>60.621</v>
      </c>
      <c r="H126" s="478">
        <f t="shared" si="16"/>
        <v>48.38266285714285</v>
      </c>
      <c r="I126" s="479">
        <f>H126</f>
        <v>48.38266285714285</v>
      </c>
      <c r="J126" s="480">
        <v>91</v>
      </c>
      <c r="K126" s="480">
        <v>93.5</v>
      </c>
      <c r="L126" s="480">
        <v>87.4</v>
      </c>
      <c r="M126" s="478">
        <f t="shared" si="17"/>
        <v>3.625333333333333</v>
      </c>
      <c r="N126" s="478">
        <f t="shared" si="18"/>
        <v>0.05980325849678053</v>
      </c>
      <c r="O126" s="480">
        <f t="shared" si="19"/>
        <v>487.11733714285714</v>
      </c>
      <c r="P126" s="480">
        <f t="shared" si="20"/>
        <v>573.0792201680672</v>
      </c>
    </row>
    <row r="127" spans="1:16" s="481" customFormat="1" ht="14.25">
      <c r="A127" s="475">
        <v>117</v>
      </c>
      <c r="B127" s="476" t="str">
        <f>'[1]Ф46,Ф29'!$K$89</f>
        <v>ТП-56</v>
      </c>
      <c r="C127" s="476" t="s">
        <v>784</v>
      </c>
      <c r="D127" s="476">
        <v>6</v>
      </c>
      <c r="E127" s="476">
        <v>630</v>
      </c>
      <c r="F127" s="483">
        <f t="shared" si="15"/>
        <v>535.5</v>
      </c>
      <c r="G127" s="477">
        <v>60.621</v>
      </c>
      <c r="H127" s="478">
        <f t="shared" si="16"/>
        <v>171.18102857142858</v>
      </c>
      <c r="I127" s="479">
        <f>H127</f>
        <v>171.18102857142858</v>
      </c>
      <c r="J127" s="480">
        <v>305</v>
      </c>
      <c r="K127" s="480">
        <v>334</v>
      </c>
      <c r="L127" s="480">
        <v>323</v>
      </c>
      <c r="M127" s="478">
        <f t="shared" si="17"/>
        <v>12.826666666666668</v>
      </c>
      <c r="N127" s="478">
        <f t="shared" si="18"/>
        <v>0.21158784359655347</v>
      </c>
      <c r="O127" s="480">
        <f t="shared" si="19"/>
        <v>364.31897142857144</v>
      </c>
      <c r="P127" s="480">
        <f t="shared" si="20"/>
        <v>428.6105546218488</v>
      </c>
    </row>
    <row r="128" spans="1:16" s="481" customFormat="1" ht="13.5" customHeight="1">
      <c r="A128" s="475">
        <v>118</v>
      </c>
      <c r="B128" s="659" t="str">
        <f>'[1]Ф46,Ф29'!$K$100</f>
        <v>ТП-45</v>
      </c>
      <c r="C128" s="476" t="s">
        <v>794</v>
      </c>
      <c r="D128" s="476">
        <v>6</v>
      </c>
      <c r="E128" s="476">
        <v>630</v>
      </c>
      <c r="F128" s="483">
        <f t="shared" si="15"/>
        <v>535.5</v>
      </c>
      <c r="G128" s="477">
        <f t="shared" si="14"/>
        <v>60.69364161849712</v>
      </c>
      <c r="H128" s="478">
        <f t="shared" si="16"/>
        <v>37.54594285714285</v>
      </c>
      <c r="I128" s="661">
        <f>H128+H129</f>
        <v>95.0214857142857</v>
      </c>
      <c r="J128" s="480">
        <v>65</v>
      </c>
      <c r="K128" s="480">
        <v>77</v>
      </c>
      <c r="L128" s="480">
        <v>69</v>
      </c>
      <c r="M128" s="478">
        <f t="shared" si="17"/>
        <v>2.813333333333333</v>
      </c>
      <c r="N128" s="478">
        <f t="shared" si="18"/>
        <v>0.04635301587301586</v>
      </c>
      <c r="O128" s="661">
        <f t="shared" si="19"/>
        <v>440.4785142857143</v>
      </c>
      <c r="P128" s="661">
        <f t="shared" si="20"/>
        <v>518.2100168067227</v>
      </c>
    </row>
    <row r="129" spans="1:16" s="481" customFormat="1" ht="13.5" customHeight="1">
      <c r="A129" s="475">
        <v>119</v>
      </c>
      <c r="B129" s="660"/>
      <c r="C129" s="476" t="s">
        <v>795</v>
      </c>
      <c r="D129" s="476">
        <v>6</v>
      </c>
      <c r="E129" s="476">
        <v>400</v>
      </c>
      <c r="F129" s="483">
        <f t="shared" si="15"/>
        <v>340</v>
      </c>
      <c r="G129" s="477">
        <f t="shared" si="14"/>
        <v>38.53564547206166</v>
      </c>
      <c r="H129" s="478">
        <f t="shared" si="16"/>
        <v>57.475542857142855</v>
      </c>
      <c r="I129" s="662"/>
      <c r="J129" s="480">
        <v>112</v>
      </c>
      <c r="K129" s="480">
        <v>111</v>
      </c>
      <c r="L129" s="480">
        <v>100</v>
      </c>
      <c r="M129" s="478">
        <f t="shared" si="17"/>
        <v>4.306666666666667</v>
      </c>
      <c r="N129" s="478">
        <f t="shared" si="18"/>
        <v>0.111758</v>
      </c>
      <c r="O129" s="662"/>
      <c r="P129" s="662"/>
    </row>
    <row r="130" spans="1:16" s="481" customFormat="1" ht="13.5" customHeight="1">
      <c r="A130" s="475">
        <v>120</v>
      </c>
      <c r="B130" s="476" t="str">
        <f>'[1]Ф10,11'!$A$11</f>
        <v>КТП- 90</v>
      </c>
      <c r="C130" s="476" t="s">
        <v>784</v>
      </c>
      <c r="D130" s="476">
        <v>6</v>
      </c>
      <c r="E130" s="476">
        <v>160</v>
      </c>
      <c r="F130" s="483">
        <f t="shared" si="15"/>
        <v>136</v>
      </c>
      <c r="G130" s="477">
        <f t="shared" si="14"/>
        <v>15.414258188824665</v>
      </c>
      <c r="H130" s="478">
        <f t="shared" si="16"/>
        <v>1.423542857142857</v>
      </c>
      <c r="I130" s="479">
        <f>H130</f>
        <v>1.423542857142857</v>
      </c>
      <c r="J130" s="480">
        <v>3.5</v>
      </c>
      <c r="K130" s="480">
        <v>3</v>
      </c>
      <c r="L130" s="480">
        <v>1.5</v>
      </c>
      <c r="M130" s="478">
        <f t="shared" si="17"/>
        <v>0.10666666666666666</v>
      </c>
      <c r="N130" s="478">
        <f t="shared" si="18"/>
        <v>0.006919999999999999</v>
      </c>
      <c r="O130" s="480">
        <f>F130-H130</f>
        <v>134.57645714285715</v>
      </c>
      <c r="P130" s="480">
        <f>O130/0.85</f>
        <v>158.325243697479</v>
      </c>
    </row>
    <row r="131" spans="1:16" s="481" customFormat="1" ht="14.25">
      <c r="A131" s="475">
        <v>121</v>
      </c>
      <c r="B131" s="476" t="str">
        <f>'[1]Ф10,11'!$A$22</f>
        <v>КТП-88</v>
      </c>
      <c r="C131" s="476" t="s">
        <v>784</v>
      </c>
      <c r="D131" s="476">
        <v>6</v>
      </c>
      <c r="E131" s="476">
        <v>160</v>
      </c>
      <c r="F131" s="483">
        <f t="shared" si="15"/>
        <v>136</v>
      </c>
      <c r="G131" s="477">
        <f t="shared" si="14"/>
        <v>15.414258188824665</v>
      </c>
      <c r="H131" s="478">
        <f t="shared" si="16"/>
        <v>13.7016</v>
      </c>
      <c r="I131" s="479">
        <f>H131</f>
        <v>13.7016</v>
      </c>
      <c r="J131" s="480">
        <v>38</v>
      </c>
      <c r="K131" s="480">
        <v>24</v>
      </c>
      <c r="L131" s="480">
        <v>15</v>
      </c>
      <c r="M131" s="478">
        <f t="shared" si="17"/>
        <v>1.0266666666666666</v>
      </c>
      <c r="N131" s="478">
        <f t="shared" si="18"/>
        <v>0.06660499999999998</v>
      </c>
      <c r="O131" s="480">
        <f>F131-H131</f>
        <v>122.2984</v>
      </c>
      <c r="P131" s="480">
        <f>O131/0.85</f>
        <v>143.8804705882353</v>
      </c>
    </row>
    <row r="132" spans="1:16" s="481" customFormat="1" ht="14.25">
      <c r="A132" s="475">
        <v>122</v>
      </c>
      <c r="B132" s="476" t="s">
        <v>539</v>
      </c>
      <c r="C132" s="476" t="s">
        <v>784</v>
      </c>
      <c r="D132" s="476">
        <v>6</v>
      </c>
      <c r="E132" s="476">
        <v>400</v>
      </c>
      <c r="F132" s="483">
        <f t="shared" si="15"/>
        <v>340</v>
      </c>
      <c r="G132" s="477">
        <f t="shared" si="14"/>
        <v>38.53564547206166</v>
      </c>
      <c r="H132" s="478">
        <f t="shared" si="16"/>
        <v>10.000388571428571</v>
      </c>
      <c r="I132" s="479">
        <f>H132</f>
        <v>10.000388571428571</v>
      </c>
      <c r="J132" s="480">
        <v>14</v>
      </c>
      <c r="K132" s="480">
        <v>30.7</v>
      </c>
      <c r="L132" s="480">
        <v>11.5</v>
      </c>
      <c r="M132" s="478">
        <f t="shared" si="17"/>
        <v>0.7493333333333334</v>
      </c>
      <c r="N132" s="478">
        <f t="shared" si="18"/>
        <v>0.0194452</v>
      </c>
      <c r="O132" s="480">
        <f>F132-H132</f>
        <v>329.9996114285714</v>
      </c>
      <c r="P132" s="480">
        <f>O132/0.85</f>
        <v>388.2348369747899</v>
      </c>
    </row>
    <row r="133" spans="1:16" s="481" customFormat="1" ht="14.25">
      <c r="A133" s="475">
        <v>123</v>
      </c>
      <c r="B133" s="476" t="str">
        <f>'[1]Ф10,11'!$L$4</f>
        <v>КТП-89</v>
      </c>
      <c r="C133" s="476" t="s">
        <v>784</v>
      </c>
      <c r="D133" s="476">
        <v>6</v>
      </c>
      <c r="E133" s="476">
        <v>160</v>
      </c>
      <c r="F133" s="483">
        <f t="shared" si="15"/>
        <v>136</v>
      </c>
      <c r="G133" s="477">
        <f t="shared" si="14"/>
        <v>15.414258188824665</v>
      </c>
      <c r="H133" s="478">
        <f t="shared" si="16"/>
        <v>0</v>
      </c>
      <c r="I133" s="480">
        <f>H133</f>
        <v>0</v>
      </c>
      <c r="J133" s="480">
        <v>0</v>
      </c>
      <c r="K133" s="480">
        <v>0</v>
      </c>
      <c r="L133" s="480">
        <v>0</v>
      </c>
      <c r="M133" s="478">
        <f t="shared" si="17"/>
        <v>0</v>
      </c>
      <c r="N133" s="478">
        <f t="shared" si="18"/>
        <v>0</v>
      </c>
      <c r="O133" s="480">
        <f>F133-H133</f>
        <v>136</v>
      </c>
      <c r="P133" s="480">
        <f>O133/0.85</f>
        <v>160</v>
      </c>
    </row>
    <row r="134" ht="15.75"/>
    <row r="135" spans="1:16" ht="28.5" customHeight="1">
      <c r="A135" s="657" t="s">
        <v>990</v>
      </c>
      <c r="B135" s="657"/>
      <c r="C135" s="657"/>
      <c r="D135" s="657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532"/>
      <c r="P135" s="532"/>
    </row>
    <row r="136" spans="1:16" ht="13.5" customHeight="1">
      <c r="A136" s="658" t="s">
        <v>989</v>
      </c>
      <c r="B136" s="658"/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533"/>
      <c r="P136" s="533"/>
    </row>
    <row r="137" spans="1:14" s="30" customFormat="1" ht="63.75">
      <c r="A137" s="490" t="s">
        <v>767</v>
      </c>
      <c r="B137" s="491" t="s">
        <v>812</v>
      </c>
      <c r="C137" s="492" t="s">
        <v>813</v>
      </c>
      <c r="D137" s="491" t="s">
        <v>814</v>
      </c>
      <c r="E137" s="491" t="s">
        <v>815</v>
      </c>
      <c r="F137" s="491" t="s">
        <v>816</v>
      </c>
      <c r="G137" s="491" t="s">
        <v>771</v>
      </c>
      <c r="H137" s="491" t="s">
        <v>817</v>
      </c>
      <c r="I137" s="491" t="s">
        <v>818</v>
      </c>
      <c r="J137" s="491" t="s">
        <v>819</v>
      </c>
      <c r="K137" s="491" t="s">
        <v>820</v>
      </c>
      <c r="L137" s="491" t="s">
        <v>821</v>
      </c>
      <c r="M137" s="491" t="s">
        <v>822</v>
      </c>
      <c r="N137" s="491" t="s">
        <v>823</v>
      </c>
    </row>
    <row r="138" spans="1:13" s="30" customFormat="1" ht="12.75" customHeight="1">
      <c r="A138" s="654" t="s">
        <v>824</v>
      </c>
      <c r="B138" s="655"/>
      <c r="C138" s="655"/>
      <c r="D138" s="655"/>
      <c r="E138" s="655"/>
      <c r="F138" s="655"/>
      <c r="G138" s="655"/>
      <c r="H138" s="655"/>
      <c r="I138" s="655"/>
      <c r="J138" s="655"/>
      <c r="K138" s="655"/>
      <c r="L138" s="655"/>
      <c r="M138" s="655"/>
    </row>
    <row r="139" spans="1:14" s="30" customFormat="1" ht="15">
      <c r="A139" s="493">
        <v>1</v>
      </c>
      <c r="B139" s="493" t="s">
        <v>825</v>
      </c>
      <c r="C139" s="493" t="s">
        <v>826</v>
      </c>
      <c r="D139" s="493">
        <v>630</v>
      </c>
      <c r="E139" s="493">
        <f aca="true" t="shared" si="21" ref="E139:E198">F139*25</f>
        <v>910</v>
      </c>
      <c r="F139" s="493">
        <v>36.4</v>
      </c>
      <c r="G139" s="494">
        <f>1.73*0.4*0.9*((H139+I139+J139)/3)/7*10</f>
        <v>32.178</v>
      </c>
      <c r="H139" s="495">
        <v>32</v>
      </c>
      <c r="I139" s="496">
        <v>40.5</v>
      </c>
      <c r="J139" s="496">
        <v>36</v>
      </c>
      <c r="K139" s="496">
        <f>(H139+I139+J139)/3/7*10</f>
        <v>51.66666666666666</v>
      </c>
      <c r="L139" s="497">
        <f>K139/E139</f>
        <v>0.05677655677655677</v>
      </c>
      <c r="M139" s="494">
        <f>630*0.85-G139-G140</f>
        <v>478.41</v>
      </c>
      <c r="N139" s="494">
        <f aca="true" t="shared" si="22" ref="N139:N198">M139/0.85</f>
        <v>562.8352941176471</v>
      </c>
    </row>
    <row r="140" spans="1:14" s="30" customFormat="1" ht="15">
      <c r="A140" s="493">
        <f aca="true" t="shared" si="23" ref="A140:A198">A139+1</f>
        <v>2</v>
      </c>
      <c r="B140" s="493" t="s">
        <v>827</v>
      </c>
      <c r="C140" s="493" t="s">
        <v>828</v>
      </c>
      <c r="D140" s="493">
        <v>160</v>
      </c>
      <c r="E140" s="493">
        <f t="shared" si="21"/>
        <v>229.99999999999997</v>
      </c>
      <c r="F140" s="493">
        <v>9.2</v>
      </c>
      <c r="G140" s="494">
        <f aca="true" t="shared" si="24" ref="G140:G198">1.73*0.4*0.9*((H140+I140+J140)/3)/7*10</f>
        <v>24.912</v>
      </c>
      <c r="H140" s="495">
        <v>23</v>
      </c>
      <c r="I140" s="496">
        <v>20</v>
      </c>
      <c r="J140" s="496">
        <v>41</v>
      </c>
      <c r="K140" s="496">
        <f aca="true" t="shared" si="25" ref="K140:K198">(H140+I140+J140)/3/7*10</f>
        <v>40</v>
      </c>
      <c r="L140" s="497">
        <f aca="true" t="shared" si="26" ref="L140:L198">K140/E140</f>
        <v>0.1739130434782609</v>
      </c>
      <c r="M140" s="494">
        <f>160*0.85-G140-G139</f>
        <v>78.91</v>
      </c>
      <c r="N140" s="494">
        <f t="shared" si="22"/>
        <v>92.83529411764705</v>
      </c>
    </row>
    <row r="141" spans="1:14" s="30" customFormat="1" ht="15">
      <c r="A141" s="493">
        <f t="shared" si="23"/>
        <v>3</v>
      </c>
      <c r="B141" s="498" t="s">
        <v>829</v>
      </c>
      <c r="C141" s="498" t="s">
        <v>830</v>
      </c>
      <c r="D141" s="498">
        <v>630</v>
      </c>
      <c r="E141" s="498">
        <f t="shared" si="21"/>
        <v>910</v>
      </c>
      <c r="F141" s="498">
        <v>36.4</v>
      </c>
      <c r="G141" s="495">
        <f t="shared" si="24"/>
        <v>254.4582857142857</v>
      </c>
      <c r="H141" s="495">
        <v>285</v>
      </c>
      <c r="I141" s="496">
        <v>276</v>
      </c>
      <c r="J141" s="496">
        <v>297</v>
      </c>
      <c r="K141" s="496">
        <f t="shared" si="25"/>
        <v>408.57142857142856</v>
      </c>
      <c r="L141" s="499">
        <f t="shared" si="26"/>
        <v>0.4489795918367347</v>
      </c>
      <c r="M141" s="495">
        <f>630*0.85-G141-G142</f>
        <v>226.47257142857146</v>
      </c>
      <c r="N141" s="494">
        <f t="shared" si="22"/>
        <v>266.4383193277311</v>
      </c>
    </row>
    <row r="142" spans="1:14" s="30" customFormat="1" ht="15">
      <c r="A142" s="493">
        <f t="shared" si="23"/>
        <v>4</v>
      </c>
      <c r="B142" s="498" t="s">
        <v>831</v>
      </c>
      <c r="C142" s="498" t="s">
        <v>830</v>
      </c>
      <c r="D142" s="498">
        <v>630</v>
      </c>
      <c r="E142" s="498">
        <f t="shared" si="21"/>
        <v>910</v>
      </c>
      <c r="F142" s="498">
        <v>36.4</v>
      </c>
      <c r="G142" s="495">
        <f t="shared" si="24"/>
        <v>54.56914285714285</v>
      </c>
      <c r="H142" s="495">
        <v>56</v>
      </c>
      <c r="I142" s="496">
        <v>58</v>
      </c>
      <c r="J142" s="496">
        <v>70</v>
      </c>
      <c r="K142" s="496">
        <f t="shared" si="25"/>
        <v>87.61904761904762</v>
      </c>
      <c r="L142" s="499">
        <f t="shared" si="26"/>
        <v>0.09628466771323914</v>
      </c>
      <c r="M142" s="495">
        <f>630*0.85-G142-G141</f>
        <v>226.47257142857143</v>
      </c>
      <c r="N142" s="494">
        <f t="shared" si="22"/>
        <v>266.4383193277311</v>
      </c>
    </row>
    <row r="143" spans="1:14" s="30" customFormat="1" ht="15">
      <c r="A143" s="493">
        <f t="shared" si="23"/>
        <v>5</v>
      </c>
      <c r="B143" s="498" t="s">
        <v>832</v>
      </c>
      <c r="C143" s="498" t="s">
        <v>833</v>
      </c>
      <c r="D143" s="498">
        <v>630</v>
      </c>
      <c r="E143" s="498">
        <f t="shared" si="21"/>
        <v>910</v>
      </c>
      <c r="F143" s="498">
        <v>36.4</v>
      </c>
      <c r="G143" s="495">
        <f t="shared" si="24"/>
        <v>51.60342857142857</v>
      </c>
      <c r="H143" s="495">
        <v>56</v>
      </c>
      <c r="I143" s="496">
        <v>54</v>
      </c>
      <c r="J143" s="496">
        <v>64</v>
      </c>
      <c r="K143" s="496">
        <f t="shared" si="25"/>
        <v>82.85714285714286</v>
      </c>
      <c r="L143" s="499">
        <f t="shared" si="26"/>
        <v>0.09105180533751962</v>
      </c>
      <c r="M143" s="495">
        <f>630*0.85-G143-G144</f>
        <v>391.6628571428571</v>
      </c>
      <c r="N143" s="494">
        <f t="shared" si="22"/>
        <v>460.77983193277305</v>
      </c>
    </row>
    <row r="144" spans="1:14" s="30" customFormat="1" ht="15">
      <c r="A144" s="493">
        <f t="shared" si="23"/>
        <v>6</v>
      </c>
      <c r="B144" s="498" t="s">
        <v>834</v>
      </c>
      <c r="C144" s="498" t="s">
        <v>833</v>
      </c>
      <c r="D144" s="498">
        <v>630</v>
      </c>
      <c r="E144" s="498">
        <f t="shared" si="21"/>
        <v>910</v>
      </c>
      <c r="F144" s="498">
        <v>36.4</v>
      </c>
      <c r="G144" s="495">
        <f t="shared" si="24"/>
        <v>92.23371428571429</v>
      </c>
      <c r="H144" s="495">
        <v>120</v>
      </c>
      <c r="I144" s="496">
        <v>90</v>
      </c>
      <c r="J144" s="496">
        <v>101</v>
      </c>
      <c r="K144" s="496">
        <f t="shared" si="25"/>
        <v>148.0952380952381</v>
      </c>
      <c r="L144" s="499">
        <f t="shared" si="26"/>
        <v>0.16274201988487705</v>
      </c>
      <c r="M144" s="495">
        <f>630*0.85-G144-G143</f>
        <v>391.6628571428571</v>
      </c>
      <c r="N144" s="494">
        <f t="shared" si="22"/>
        <v>460.77983193277305</v>
      </c>
    </row>
    <row r="145" spans="1:14" s="30" customFormat="1" ht="15">
      <c r="A145" s="493">
        <f t="shared" si="23"/>
        <v>7</v>
      </c>
      <c r="B145" s="498" t="s">
        <v>835</v>
      </c>
      <c r="C145" s="498" t="s">
        <v>836</v>
      </c>
      <c r="D145" s="498">
        <v>250</v>
      </c>
      <c r="E145" s="498">
        <f t="shared" si="21"/>
        <v>362.5</v>
      </c>
      <c r="F145" s="498">
        <v>14.5</v>
      </c>
      <c r="G145" s="495">
        <f t="shared" si="24"/>
        <v>129.60171428571428</v>
      </c>
      <c r="H145" s="495">
        <v>145</v>
      </c>
      <c r="I145" s="496">
        <v>120</v>
      </c>
      <c r="J145" s="496">
        <v>172</v>
      </c>
      <c r="K145" s="496">
        <f t="shared" si="25"/>
        <v>208.09523809523807</v>
      </c>
      <c r="L145" s="499">
        <f t="shared" si="26"/>
        <v>0.5740558292282429</v>
      </c>
      <c r="M145" s="495">
        <f>250*0.85-G145-G146</f>
        <v>82.89828571428572</v>
      </c>
      <c r="N145" s="494">
        <f t="shared" si="22"/>
        <v>97.5273949579832</v>
      </c>
    </row>
    <row r="146" spans="1:14" s="30" customFormat="1" ht="15">
      <c r="A146" s="493">
        <f t="shared" si="23"/>
        <v>8</v>
      </c>
      <c r="B146" s="498" t="s">
        <v>837</v>
      </c>
      <c r="C146" s="498" t="s">
        <v>836</v>
      </c>
      <c r="D146" s="498">
        <v>250</v>
      </c>
      <c r="E146" s="498">
        <f t="shared" si="21"/>
        <v>362.5</v>
      </c>
      <c r="F146" s="498">
        <v>14.5</v>
      </c>
      <c r="G146" s="495">
        <f t="shared" si="24"/>
        <v>0</v>
      </c>
      <c r="H146" s="495">
        <f>'[2]ТП-3'!$C$28</f>
        <v>0</v>
      </c>
      <c r="I146" s="496">
        <f>'[2]ТП-3'!$D$28</f>
        <v>0</v>
      </c>
      <c r="J146" s="496">
        <f>'[2]ТП-3'!$E$28</f>
        <v>0</v>
      </c>
      <c r="K146" s="496">
        <f t="shared" si="25"/>
        <v>0</v>
      </c>
      <c r="L146" s="499">
        <f t="shared" si="26"/>
        <v>0</v>
      </c>
      <c r="M146" s="495">
        <f>250*0.85-G146-G145</f>
        <v>82.89828571428572</v>
      </c>
      <c r="N146" s="494">
        <f t="shared" si="22"/>
        <v>97.5273949579832</v>
      </c>
    </row>
    <row r="147" spans="1:14" s="30" customFormat="1" ht="15">
      <c r="A147" s="493">
        <f t="shared" si="23"/>
        <v>9</v>
      </c>
      <c r="B147" s="498" t="s">
        <v>838</v>
      </c>
      <c r="C147" s="498" t="s">
        <v>839</v>
      </c>
      <c r="D147" s="498">
        <v>400</v>
      </c>
      <c r="E147" s="498">
        <f t="shared" si="21"/>
        <v>577.5</v>
      </c>
      <c r="F147" s="498">
        <v>23.1</v>
      </c>
      <c r="G147" s="495">
        <f t="shared" si="24"/>
        <v>128.41542857142858</v>
      </c>
      <c r="H147" s="495">
        <v>130</v>
      </c>
      <c r="I147" s="496">
        <v>170</v>
      </c>
      <c r="J147" s="496">
        <v>133</v>
      </c>
      <c r="K147" s="496">
        <f t="shared" si="25"/>
        <v>206.1904761904762</v>
      </c>
      <c r="L147" s="499">
        <f t="shared" si="26"/>
        <v>0.3570397856112142</v>
      </c>
      <c r="M147" s="495">
        <f>400*0.85-G147-G148</f>
        <v>162.05714285714285</v>
      </c>
      <c r="N147" s="494">
        <f t="shared" si="22"/>
        <v>190.65546218487395</v>
      </c>
    </row>
    <row r="148" spans="1:14" s="30" customFormat="1" ht="15">
      <c r="A148" s="493">
        <f t="shared" si="23"/>
        <v>10</v>
      </c>
      <c r="B148" s="498" t="s">
        <v>840</v>
      </c>
      <c r="C148" s="498" t="s">
        <v>839</v>
      </c>
      <c r="D148" s="498">
        <v>400</v>
      </c>
      <c r="E148" s="498">
        <f t="shared" si="21"/>
        <v>577.5</v>
      </c>
      <c r="F148" s="498">
        <v>23.1</v>
      </c>
      <c r="G148" s="495">
        <f t="shared" si="24"/>
        <v>49.52742857142857</v>
      </c>
      <c r="H148" s="495">
        <v>27</v>
      </c>
      <c r="I148" s="496">
        <v>84</v>
      </c>
      <c r="J148" s="496">
        <v>56</v>
      </c>
      <c r="K148" s="496">
        <f t="shared" si="25"/>
        <v>79.52380952380952</v>
      </c>
      <c r="L148" s="499">
        <f t="shared" si="26"/>
        <v>0.13770356627499483</v>
      </c>
      <c r="M148" s="495">
        <f>400*0.85-G148-G147</f>
        <v>162.05714285714285</v>
      </c>
      <c r="N148" s="494">
        <f t="shared" si="22"/>
        <v>190.65546218487395</v>
      </c>
    </row>
    <row r="149" spans="1:14" s="30" customFormat="1" ht="15">
      <c r="A149" s="493">
        <f t="shared" si="23"/>
        <v>11</v>
      </c>
      <c r="B149" s="498" t="s">
        <v>841</v>
      </c>
      <c r="C149" s="498" t="s">
        <v>836</v>
      </c>
      <c r="D149" s="498">
        <v>250</v>
      </c>
      <c r="E149" s="498">
        <f t="shared" si="21"/>
        <v>362.5</v>
      </c>
      <c r="F149" s="498">
        <v>14.5</v>
      </c>
      <c r="G149" s="495">
        <f t="shared" si="24"/>
        <v>91.34400000000001</v>
      </c>
      <c r="H149" s="495">
        <v>84</v>
      </c>
      <c r="I149" s="496">
        <v>121</v>
      </c>
      <c r="J149" s="496">
        <v>103</v>
      </c>
      <c r="K149" s="496">
        <f t="shared" si="25"/>
        <v>146.66666666666669</v>
      </c>
      <c r="L149" s="499">
        <f t="shared" si="26"/>
        <v>0.40459770114942534</v>
      </c>
      <c r="M149" s="495">
        <f>250*0.85-G149-G150</f>
        <v>62.434857142857126</v>
      </c>
      <c r="N149" s="494">
        <f t="shared" si="22"/>
        <v>73.45277310924368</v>
      </c>
    </row>
    <row r="150" spans="1:14" s="30" customFormat="1" ht="15">
      <c r="A150" s="493">
        <f t="shared" si="23"/>
        <v>12</v>
      </c>
      <c r="B150" s="498" t="s">
        <v>842</v>
      </c>
      <c r="C150" s="498" t="s">
        <v>836</v>
      </c>
      <c r="D150" s="498">
        <v>250</v>
      </c>
      <c r="E150" s="498">
        <f t="shared" si="21"/>
        <v>362.5</v>
      </c>
      <c r="F150" s="498">
        <v>14.5</v>
      </c>
      <c r="G150" s="495">
        <f t="shared" si="24"/>
        <v>58.721142857142866</v>
      </c>
      <c r="H150" s="495">
        <v>60</v>
      </c>
      <c r="I150" s="496">
        <v>57</v>
      </c>
      <c r="J150" s="496">
        <v>81</v>
      </c>
      <c r="K150" s="496">
        <f t="shared" si="25"/>
        <v>94.28571428571429</v>
      </c>
      <c r="L150" s="499">
        <f t="shared" si="26"/>
        <v>0.2600985221674877</v>
      </c>
      <c r="M150" s="495">
        <f>250*0.85-G150-G149</f>
        <v>62.434857142857126</v>
      </c>
      <c r="N150" s="494">
        <f t="shared" si="22"/>
        <v>73.45277310924368</v>
      </c>
    </row>
    <row r="151" spans="1:14" s="30" customFormat="1" ht="15">
      <c r="A151" s="493">
        <f t="shared" si="23"/>
        <v>13</v>
      </c>
      <c r="B151" s="500" t="s">
        <v>843</v>
      </c>
      <c r="C151" s="500" t="s">
        <v>844</v>
      </c>
      <c r="D151" s="500">
        <v>630</v>
      </c>
      <c r="E151" s="500">
        <v>910</v>
      </c>
      <c r="F151" s="500">
        <v>36.4</v>
      </c>
      <c r="G151" s="501">
        <f t="shared" si="24"/>
        <v>196.9234285714286</v>
      </c>
      <c r="H151" s="501">
        <v>246</v>
      </c>
      <c r="I151" s="499">
        <v>208</v>
      </c>
      <c r="J151" s="499">
        <v>210</v>
      </c>
      <c r="K151" s="499">
        <f t="shared" si="25"/>
        <v>316.1904761904762</v>
      </c>
      <c r="L151" s="499">
        <f t="shared" si="26"/>
        <v>0.34746206174777605</v>
      </c>
      <c r="M151" s="501">
        <f>630*0.85-G151-G152</f>
        <v>114.36857142857139</v>
      </c>
      <c r="N151" s="502">
        <f t="shared" si="22"/>
        <v>134.55126050420162</v>
      </c>
    </row>
    <row r="152" spans="1:14" s="30" customFormat="1" ht="15">
      <c r="A152" s="493">
        <f t="shared" si="23"/>
        <v>14</v>
      </c>
      <c r="B152" s="500" t="s">
        <v>845</v>
      </c>
      <c r="C152" s="500" t="s">
        <v>844</v>
      </c>
      <c r="D152" s="500">
        <v>630</v>
      </c>
      <c r="E152" s="500">
        <v>910</v>
      </c>
      <c r="F152" s="500">
        <v>36.4</v>
      </c>
      <c r="G152" s="501">
        <f t="shared" si="24"/>
        <v>224.20800000000003</v>
      </c>
      <c r="H152" s="501">
        <v>251</v>
      </c>
      <c r="I152" s="499">
        <v>281</v>
      </c>
      <c r="J152" s="499">
        <v>224</v>
      </c>
      <c r="K152" s="499">
        <f t="shared" si="25"/>
        <v>360</v>
      </c>
      <c r="L152" s="499">
        <f t="shared" si="26"/>
        <v>0.3956043956043956</v>
      </c>
      <c r="M152" s="501">
        <f>630*0.85-G152-G151</f>
        <v>114.36857142857139</v>
      </c>
      <c r="N152" s="502">
        <f t="shared" si="22"/>
        <v>134.55126050420162</v>
      </c>
    </row>
    <row r="153" spans="1:14" s="30" customFormat="1" ht="15">
      <c r="A153" s="493">
        <f t="shared" si="23"/>
        <v>15</v>
      </c>
      <c r="B153" s="498" t="s">
        <v>846</v>
      </c>
      <c r="C153" s="498" t="s">
        <v>836</v>
      </c>
      <c r="D153" s="498">
        <v>250</v>
      </c>
      <c r="E153" s="498">
        <f t="shared" si="21"/>
        <v>362.5</v>
      </c>
      <c r="F153" s="498">
        <v>14.5</v>
      </c>
      <c r="G153" s="495">
        <f t="shared" si="24"/>
        <v>89.56457142857144</v>
      </c>
      <c r="H153" s="495">
        <v>87</v>
      </c>
      <c r="I153" s="496">
        <v>125</v>
      </c>
      <c r="J153" s="496">
        <v>90</v>
      </c>
      <c r="K153" s="496">
        <f t="shared" si="25"/>
        <v>143.80952380952382</v>
      </c>
      <c r="L153" s="499">
        <f t="shared" si="26"/>
        <v>0.39671592775041054</v>
      </c>
      <c r="M153" s="495">
        <f>250*0.85-G153-G154</f>
        <v>122.93542857142856</v>
      </c>
      <c r="N153" s="494">
        <f t="shared" si="22"/>
        <v>144.62991596638653</v>
      </c>
    </row>
    <row r="154" spans="1:14" s="30" customFormat="1" ht="15">
      <c r="A154" s="493">
        <f t="shared" si="23"/>
        <v>16</v>
      </c>
      <c r="B154" s="498" t="s">
        <v>847</v>
      </c>
      <c r="C154" s="498" t="s">
        <v>848</v>
      </c>
      <c r="D154" s="498">
        <v>200</v>
      </c>
      <c r="E154" s="498">
        <f t="shared" si="21"/>
        <v>362.5</v>
      </c>
      <c r="F154" s="498">
        <v>14.5</v>
      </c>
      <c r="G154" s="495">
        <f t="shared" si="24"/>
        <v>0</v>
      </c>
      <c r="H154" s="495">
        <f>'[2]ТП-8'!$C$31</f>
        <v>0</v>
      </c>
      <c r="I154" s="496">
        <f>'[2]ТП-8'!$D$31</f>
        <v>0</v>
      </c>
      <c r="J154" s="496">
        <f>'[2]ТП-8'!$E$31</f>
        <v>0</v>
      </c>
      <c r="K154" s="496">
        <f t="shared" si="25"/>
        <v>0</v>
      </c>
      <c r="L154" s="499">
        <f t="shared" si="26"/>
        <v>0</v>
      </c>
      <c r="M154" s="495">
        <f>200*0.85-G154-G153</f>
        <v>80.43542857142856</v>
      </c>
      <c r="N154" s="494">
        <f t="shared" si="22"/>
        <v>94.62991596638655</v>
      </c>
    </row>
    <row r="155" spans="1:14" s="30" customFormat="1" ht="15">
      <c r="A155" s="493">
        <f t="shared" si="23"/>
        <v>17</v>
      </c>
      <c r="B155" s="498" t="s">
        <v>849</v>
      </c>
      <c r="C155" s="498" t="s">
        <v>836</v>
      </c>
      <c r="D155" s="498">
        <v>250</v>
      </c>
      <c r="E155" s="498">
        <f t="shared" si="21"/>
        <v>362.5</v>
      </c>
      <c r="F155" s="498">
        <v>14.5</v>
      </c>
      <c r="G155" s="495">
        <f t="shared" si="24"/>
        <v>14.532</v>
      </c>
      <c r="H155" s="495">
        <v>21</v>
      </c>
      <c r="I155" s="496">
        <v>12</v>
      </c>
      <c r="J155" s="496">
        <v>16</v>
      </c>
      <c r="K155" s="496">
        <f t="shared" si="25"/>
        <v>23.33333333333333</v>
      </c>
      <c r="L155" s="499">
        <f t="shared" si="26"/>
        <v>0.06436781609195401</v>
      </c>
      <c r="M155" s="495">
        <f>250*0.85-G155</f>
        <v>197.968</v>
      </c>
      <c r="N155" s="494">
        <f t="shared" si="22"/>
        <v>232.9035294117647</v>
      </c>
    </row>
    <row r="156" spans="1:14" s="30" customFormat="1" ht="15">
      <c r="A156" s="493">
        <f t="shared" si="23"/>
        <v>18</v>
      </c>
      <c r="B156" s="498" t="s">
        <v>850</v>
      </c>
      <c r="C156" s="498" t="s">
        <v>851</v>
      </c>
      <c r="D156" s="498">
        <v>400</v>
      </c>
      <c r="E156" s="498">
        <v>577.5</v>
      </c>
      <c r="F156" s="503">
        <v>23.1</v>
      </c>
      <c r="G156" s="495">
        <f t="shared" si="24"/>
        <v>58.721142857142866</v>
      </c>
      <c r="H156" s="495">
        <v>67</v>
      </c>
      <c r="I156" s="496">
        <v>76</v>
      </c>
      <c r="J156" s="496">
        <v>55</v>
      </c>
      <c r="K156" s="496">
        <f t="shared" si="25"/>
        <v>94.28571428571429</v>
      </c>
      <c r="L156" s="499">
        <f t="shared" si="26"/>
        <v>0.163265306122449</v>
      </c>
      <c r="M156" s="495">
        <f>400*0.85-G156</f>
        <v>281.27885714285713</v>
      </c>
      <c r="N156" s="494">
        <f t="shared" si="22"/>
        <v>330.9163025210084</v>
      </c>
    </row>
    <row r="157" spans="1:14" s="30" customFormat="1" ht="15">
      <c r="A157" s="493">
        <f t="shared" si="23"/>
        <v>19</v>
      </c>
      <c r="B157" s="498" t="s">
        <v>852</v>
      </c>
      <c r="C157" s="498" t="s">
        <v>851</v>
      </c>
      <c r="D157" s="498">
        <v>400</v>
      </c>
      <c r="E157" s="498">
        <f t="shared" si="21"/>
        <v>577.5</v>
      </c>
      <c r="F157" s="503">
        <v>23.1</v>
      </c>
      <c r="G157" s="495">
        <f t="shared" si="24"/>
        <v>64.65257142857143</v>
      </c>
      <c r="H157" s="495">
        <v>60</v>
      </c>
      <c r="I157" s="496">
        <v>45</v>
      </c>
      <c r="J157" s="496">
        <v>113</v>
      </c>
      <c r="K157" s="496">
        <f t="shared" si="25"/>
        <v>103.80952380952381</v>
      </c>
      <c r="L157" s="499">
        <f t="shared" si="26"/>
        <v>0.1797567511853226</v>
      </c>
      <c r="M157" s="495">
        <f>400*0.85-G157</f>
        <v>275.34742857142857</v>
      </c>
      <c r="N157" s="494">
        <f t="shared" si="22"/>
        <v>323.9381512605042</v>
      </c>
    </row>
    <row r="158" spans="1:14" s="30" customFormat="1" ht="15">
      <c r="A158" s="493">
        <f t="shared" si="23"/>
        <v>20</v>
      </c>
      <c r="B158" s="498" t="s">
        <v>853</v>
      </c>
      <c r="C158" s="498" t="s">
        <v>839</v>
      </c>
      <c r="D158" s="498">
        <v>400</v>
      </c>
      <c r="E158" s="498">
        <f t="shared" si="21"/>
        <v>577.5</v>
      </c>
      <c r="F158" s="503">
        <v>23.1</v>
      </c>
      <c r="G158" s="495">
        <f t="shared" si="24"/>
        <v>173.49428571428572</v>
      </c>
      <c r="H158" s="495">
        <v>199</v>
      </c>
      <c r="I158" s="496">
        <v>196</v>
      </c>
      <c r="J158" s="496">
        <v>190</v>
      </c>
      <c r="K158" s="496">
        <f t="shared" si="25"/>
        <v>278.57142857142856</v>
      </c>
      <c r="L158" s="499">
        <f t="shared" si="26"/>
        <v>0.4823747680890538</v>
      </c>
      <c r="M158" s="495">
        <f>400*0.85-G158</f>
        <v>166.50571428571428</v>
      </c>
      <c r="N158" s="494">
        <f t="shared" si="22"/>
        <v>195.8890756302521</v>
      </c>
    </row>
    <row r="159" spans="1:14" s="30" customFormat="1" ht="15">
      <c r="A159" s="493">
        <f t="shared" si="23"/>
        <v>21</v>
      </c>
      <c r="B159" s="498" t="s">
        <v>652</v>
      </c>
      <c r="C159" s="498" t="s">
        <v>854</v>
      </c>
      <c r="D159" s="498">
        <v>400</v>
      </c>
      <c r="E159" s="498">
        <v>577.5</v>
      </c>
      <c r="F159" s="503">
        <v>23.1</v>
      </c>
      <c r="G159" s="495">
        <f t="shared" si="24"/>
        <v>166.37657142857142</v>
      </c>
      <c r="H159" s="495">
        <v>177</v>
      </c>
      <c r="I159" s="496">
        <v>166</v>
      </c>
      <c r="J159" s="496">
        <v>218</v>
      </c>
      <c r="K159" s="496">
        <f t="shared" si="25"/>
        <v>267.14285714285717</v>
      </c>
      <c r="L159" s="499">
        <f t="shared" si="26"/>
        <v>0.4625850340136055</v>
      </c>
      <c r="M159" s="495">
        <f>400*0.85-G159</f>
        <v>173.62342857142858</v>
      </c>
      <c r="N159" s="494">
        <f t="shared" si="22"/>
        <v>204.26285714285714</v>
      </c>
    </row>
    <row r="160" spans="1:14" s="30" customFormat="1" ht="15">
      <c r="A160" s="493">
        <f t="shared" si="23"/>
        <v>22</v>
      </c>
      <c r="B160" s="500" t="s">
        <v>855</v>
      </c>
      <c r="C160" s="500" t="s">
        <v>856</v>
      </c>
      <c r="D160" s="500">
        <v>250</v>
      </c>
      <c r="E160" s="498">
        <f t="shared" si="21"/>
        <v>362.5</v>
      </c>
      <c r="F160" s="498">
        <v>14.5</v>
      </c>
      <c r="G160" s="501">
        <f t="shared" si="24"/>
        <v>150.6582857142857</v>
      </c>
      <c r="H160" s="501">
        <v>151</v>
      </c>
      <c r="I160" s="499">
        <v>155</v>
      </c>
      <c r="J160" s="499">
        <v>202</v>
      </c>
      <c r="K160" s="499">
        <f t="shared" si="25"/>
        <v>241.90476190476193</v>
      </c>
      <c r="L160" s="499">
        <f t="shared" si="26"/>
        <v>0.6673234811165846</v>
      </c>
      <c r="M160" s="501">
        <f>250*0.85-G160-G161</f>
        <v>9.941714285714284</v>
      </c>
      <c r="N160" s="502">
        <f t="shared" si="22"/>
        <v>11.69613445378151</v>
      </c>
    </row>
    <row r="161" spans="1:14" s="30" customFormat="1" ht="15">
      <c r="A161" s="493">
        <f t="shared" si="23"/>
        <v>23</v>
      </c>
      <c r="B161" s="500" t="s">
        <v>857</v>
      </c>
      <c r="C161" s="500" t="s">
        <v>856</v>
      </c>
      <c r="D161" s="500">
        <v>250</v>
      </c>
      <c r="E161" s="498">
        <f t="shared" si="21"/>
        <v>362.5</v>
      </c>
      <c r="F161" s="498">
        <v>14.5</v>
      </c>
      <c r="G161" s="501">
        <f t="shared" si="24"/>
        <v>51.900000000000006</v>
      </c>
      <c r="H161" s="501">
        <v>58</v>
      </c>
      <c r="I161" s="499">
        <v>54</v>
      </c>
      <c r="J161" s="499">
        <v>63</v>
      </c>
      <c r="K161" s="499">
        <f t="shared" si="25"/>
        <v>83.33333333333334</v>
      </c>
      <c r="L161" s="499">
        <f t="shared" si="26"/>
        <v>0.2298850574712644</v>
      </c>
      <c r="M161" s="501">
        <f>250*0.85-G161-G160</f>
        <v>9.941714285714284</v>
      </c>
      <c r="N161" s="502">
        <f t="shared" si="22"/>
        <v>11.69613445378151</v>
      </c>
    </row>
    <row r="162" spans="1:14" s="30" customFormat="1" ht="15">
      <c r="A162" s="493">
        <f t="shared" si="23"/>
        <v>24</v>
      </c>
      <c r="B162" s="498" t="s">
        <v>858</v>
      </c>
      <c r="C162" s="498" t="s">
        <v>859</v>
      </c>
      <c r="D162" s="498">
        <v>400</v>
      </c>
      <c r="E162" s="498">
        <f t="shared" si="21"/>
        <v>577.5</v>
      </c>
      <c r="F162" s="503">
        <v>23.1</v>
      </c>
      <c r="G162" s="495">
        <f t="shared" si="24"/>
        <v>169.63885714285712</v>
      </c>
      <c r="H162" s="495">
        <v>204</v>
      </c>
      <c r="I162" s="496">
        <v>189</v>
      </c>
      <c r="J162" s="496">
        <v>179</v>
      </c>
      <c r="K162" s="496">
        <f t="shared" si="25"/>
        <v>272.38095238095235</v>
      </c>
      <c r="L162" s="499">
        <f t="shared" si="26"/>
        <v>0.4716553287981859</v>
      </c>
      <c r="M162" s="495">
        <f>400*0.85-G162-G163</f>
        <v>62.40914285714288</v>
      </c>
      <c r="N162" s="494">
        <f t="shared" si="22"/>
        <v>73.4225210084034</v>
      </c>
    </row>
    <row r="163" spans="1:14" s="30" customFormat="1" ht="15">
      <c r="A163" s="493">
        <f t="shared" si="23"/>
        <v>25</v>
      </c>
      <c r="B163" s="498" t="s">
        <v>860</v>
      </c>
      <c r="C163" s="498" t="s">
        <v>861</v>
      </c>
      <c r="D163" s="498">
        <v>400</v>
      </c>
      <c r="E163" s="498">
        <f t="shared" si="21"/>
        <v>577.5</v>
      </c>
      <c r="F163" s="503">
        <v>23.1</v>
      </c>
      <c r="G163" s="495">
        <f t="shared" si="24"/>
        <v>107.952</v>
      </c>
      <c r="H163" s="495">
        <v>144</v>
      </c>
      <c r="I163" s="496">
        <v>114</v>
      </c>
      <c r="J163" s="496">
        <v>106</v>
      </c>
      <c r="K163" s="496">
        <f t="shared" si="25"/>
        <v>173.33333333333331</v>
      </c>
      <c r="L163" s="499">
        <f t="shared" si="26"/>
        <v>0.3001443001443001</v>
      </c>
      <c r="M163" s="495">
        <f>400*0.85-G163-G162</f>
        <v>62.40914285714288</v>
      </c>
      <c r="N163" s="494">
        <f t="shared" si="22"/>
        <v>73.4225210084034</v>
      </c>
    </row>
    <row r="164" spans="1:14" s="30" customFormat="1" ht="15">
      <c r="A164" s="493">
        <f t="shared" si="23"/>
        <v>26</v>
      </c>
      <c r="B164" s="498" t="s">
        <v>862</v>
      </c>
      <c r="C164" s="498" t="s">
        <v>839</v>
      </c>
      <c r="D164" s="498">
        <v>400</v>
      </c>
      <c r="E164" s="498">
        <f t="shared" si="21"/>
        <v>577.5</v>
      </c>
      <c r="F164" s="503">
        <v>23.1</v>
      </c>
      <c r="G164" s="495">
        <f t="shared" si="24"/>
        <v>198.85114285714283</v>
      </c>
      <c r="H164" s="501">
        <v>218</v>
      </c>
      <c r="I164" s="499">
        <v>265.5</v>
      </c>
      <c r="J164" s="499">
        <v>187</v>
      </c>
      <c r="K164" s="496">
        <f t="shared" si="25"/>
        <v>319.2857142857143</v>
      </c>
      <c r="L164" s="499">
        <f t="shared" si="26"/>
        <v>0.5528756957328386</v>
      </c>
      <c r="M164" s="495">
        <f>400*0.85-G164</f>
        <v>141.14885714285717</v>
      </c>
      <c r="N164" s="494">
        <f t="shared" si="22"/>
        <v>166.05747899159667</v>
      </c>
    </row>
    <row r="165" spans="1:14" s="30" customFormat="1" ht="15">
      <c r="A165" s="493">
        <f t="shared" si="23"/>
        <v>27</v>
      </c>
      <c r="B165" s="498" t="s">
        <v>863</v>
      </c>
      <c r="C165" s="498" t="s">
        <v>851</v>
      </c>
      <c r="D165" s="498">
        <v>400</v>
      </c>
      <c r="E165" s="498">
        <f t="shared" si="21"/>
        <v>577.5</v>
      </c>
      <c r="F165" s="503">
        <v>23.1</v>
      </c>
      <c r="G165" s="495">
        <f t="shared" si="24"/>
        <v>71.47371428571428</v>
      </c>
      <c r="H165" s="495">
        <v>76</v>
      </c>
      <c r="I165" s="496">
        <v>76</v>
      </c>
      <c r="J165" s="496">
        <v>89</v>
      </c>
      <c r="K165" s="496">
        <f t="shared" si="25"/>
        <v>114.76190476190476</v>
      </c>
      <c r="L165" s="499">
        <f t="shared" si="26"/>
        <v>0.1987219130076273</v>
      </c>
      <c r="M165" s="495">
        <f>400*0.85-G165</f>
        <v>268.52628571428573</v>
      </c>
      <c r="N165" s="494">
        <f t="shared" si="22"/>
        <v>315.9132773109244</v>
      </c>
    </row>
    <row r="166" spans="1:14" s="30" customFormat="1" ht="15">
      <c r="A166" s="493">
        <f t="shared" si="23"/>
        <v>28</v>
      </c>
      <c r="B166" s="500" t="s">
        <v>864</v>
      </c>
      <c r="C166" s="500" t="s">
        <v>865</v>
      </c>
      <c r="D166" s="500">
        <v>250</v>
      </c>
      <c r="E166" s="498">
        <f t="shared" si="21"/>
        <v>362.5</v>
      </c>
      <c r="F166" s="498">
        <v>14.5</v>
      </c>
      <c r="G166" s="495">
        <f t="shared" si="24"/>
        <v>117.14571428571429</v>
      </c>
      <c r="H166" s="495">
        <v>129</v>
      </c>
      <c r="I166" s="496">
        <v>123</v>
      </c>
      <c r="J166" s="496">
        <v>143</v>
      </c>
      <c r="K166" s="496">
        <f t="shared" si="25"/>
        <v>188.09523809523807</v>
      </c>
      <c r="L166" s="499">
        <f t="shared" si="26"/>
        <v>0.5188834154351395</v>
      </c>
      <c r="M166" s="501">
        <f>250*0.85-G166-G167</f>
        <v>3.713714285714275</v>
      </c>
      <c r="N166" s="502">
        <f t="shared" si="22"/>
        <v>4.369075630252088</v>
      </c>
    </row>
    <row r="167" spans="1:14" s="30" customFormat="1" ht="15">
      <c r="A167" s="493">
        <f t="shared" si="23"/>
        <v>29</v>
      </c>
      <c r="B167" s="500" t="s">
        <v>866</v>
      </c>
      <c r="C167" s="500" t="s">
        <v>856</v>
      </c>
      <c r="D167" s="500">
        <v>250</v>
      </c>
      <c r="E167" s="498">
        <f t="shared" si="21"/>
        <v>362.5</v>
      </c>
      <c r="F167" s="498">
        <v>14.5</v>
      </c>
      <c r="G167" s="495">
        <f t="shared" si="24"/>
        <v>91.64057142857143</v>
      </c>
      <c r="H167" s="495">
        <v>117</v>
      </c>
      <c r="I167" s="496">
        <v>110</v>
      </c>
      <c r="J167" s="496">
        <v>82</v>
      </c>
      <c r="K167" s="496">
        <f t="shared" si="25"/>
        <v>147.14285714285714</v>
      </c>
      <c r="L167" s="499">
        <f t="shared" si="26"/>
        <v>0.40591133004926105</v>
      </c>
      <c r="M167" s="501">
        <f>250*0.85-G167-G166</f>
        <v>3.713714285714275</v>
      </c>
      <c r="N167" s="502">
        <f t="shared" si="22"/>
        <v>4.369075630252088</v>
      </c>
    </row>
    <row r="168" spans="1:14" s="30" customFormat="1" ht="15">
      <c r="A168" s="493">
        <f t="shared" si="23"/>
        <v>30</v>
      </c>
      <c r="B168" s="498" t="s">
        <v>867</v>
      </c>
      <c r="C168" s="498" t="s">
        <v>868</v>
      </c>
      <c r="D168" s="498">
        <v>320</v>
      </c>
      <c r="E168" s="498">
        <f t="shared" si="21"/>
        <v>462.5</v>
      </c>
      <c r="F168" s="503">
        <v>18.5</v>
      </c>
      <c r="G168" s="495">
        <f t="shared" si="24"/>
        <v>204.04114285714286</v>
      </c>
      <c r="H168" s="495">
        <v>263</v>
      </c>
      <c r="I168" s="496">
        <v>214</v>
      </c>
      <c r="J168" s="496">
        <v>211</v>
      </c>
      <c r="K168" s="496">
        <f t="shared" si="25"/>
        <v>327.61904761904765</v>
      </c>
      <c r="L168" s="499">
        <f t="shared" si="26"/>
        <v>0.7083655083655084</v>
      </c>
      <c r="M168" s="495">
        <f>320*0.85-G168</f>
        <v>67.95885714285714</v>
      </c>
      <c r="N168" s="494">
        <f t="shared" si="22"/>
        <v>79.95159663865546</v>
      </c>
    </row>
    <row r="169" spans="1:14" s="30" customFormat="1" ht="15">
      <c r="A169" s="493">
        <f t="shared" si="23"/>
        <v>31</v>
      </c>
      <c r="B169" s="498" t="s">
        <v>869</v>
      </c>
      <c r="C169" s="498" t="s">
        <v>868</v>
      </c>
      <c r="D169" s="498">
        <v>320</v>
      </c>
      <c r="E169" s="498">
        <f t="shared" si="21"/>
        <v>462.5</v>
      </c>
      <c r="F169" s="503">
        <v>18.5</v>
      </c>
      <c r="G169" s="495">
        <f t="shared" si="24"/>
        <v>41.81657142857142</v>
      </c>
      <c r="H169" s="495">
        <v>35</v>
      </c>
      <c r="I169" s="496">
        <v>70</v>
      </c>
      <c r="J169" s="496">
        <v>36</v>
      </c>
      <c r="K169" s="496">
        <f t="shared" si="25"/>
        <v>67.14285714285714</v>
      </c>
      <c r="L169" s="499">
        <f t="shared" si="26"/>
        <v>0.14517374517374518</v>
      </c>
      <c r="M169" s="495">
        <f>320*0.85-G169</f>
        <v>230.18342857142858</v>
      </c>
      <c r="N169" s="494">
        <f t="shared" si="22"/>
        <v>270.80403361344537</v>
      </c>
    </row>
    <row r="170" spans="1:14" s="30" customFormat="1" ht="15">
      <c r="A170" s="493">
        <f t="shared" si="23"/>
        <v>32</v>
      </c>
      <c r="B170" s="498" t="s">
        <v>870</v>
      </c>
      <c r="C170" s="498" t="s">
        <v>851</v>
      </c>
      <c r="D170" s="498">
        <v>400</v>
      </c>
      <c r="E170" s="498">
        <f t="shared" si="21"/>
        <v>577.5</v>
      </c>
      <c r="F170" s="503">
        <v>23.1</v>
      </c>
      <c r="G170" s="495">
        <f t="shared" si="24"/>
        <v>115.66285714285713</v>
      </c>
      <c r="H170" s="495">
        <v>145</v>
      </c>
      <c r="I170" s="496">
        <v>97</v>
      </c>
      <c r="J170" s="496">
        <v>148</v>
      </c>
      <c r="K170" s="496">
        <f t="shared" si="25"/>
        <v>185.71428571428572</v>
      </c>
      <c r="L170" s="499">
        <f t="shared" si="26"/>
        <v>0.32158317872603587</v>
      </c>
      <c r="M170" s="495">
        <f>400*0.85-G170</f>
        <v>224.33714285714285</v>
      </c>
      <c r="N170" s="494">
        <f t="shared" si="22"/>
        <v>263.92605042016805</v>
      </c>
    </row>
    <row r="171" spans="1:14" s="30" customFormat="1" ht="15">
      <c r="A171" s="493">
        <f t="shared" si="23"/>
        <v>33</v>
      </c>
      <c r="B171" s="498" t="s">
        <v>871</v>
      </c>
      <c r="C171" s="498" t="s">
        <v>851</v>
      </c>
      <c r="D171" s="498">
        <v>400</v>
      </c>
      <c r="E171" s="498">
        <f t="shared" si="21"/>
        <v>577.5</v>
      </c>
      <c r="F171" s="503">
        <v>23.1</v>
      </c>
      <c r="G171" s="495">
        <f t="shared" si="24"/>
        <v>124.56000000000002</v>
      </c>
      <c r="H171" s="495">
        <v>140</v>
      </c>
      <c r="I171" s="496">
        <v>162</v>
      </c>
      <c r="J171" s="496">
        <v>118</v>
      </c>
      <c r="K171" s="496">
        <f t="shared" si="25"/>
        <v>200</v>
      </c>
      <c r="L171" s="499">
        <f t="shared" si="26"/>
        <v>0.3463203463203463</v>
      </c>
      <c r="M171" s="495">
        <f>400*0.85-G171</f>
        <v>215.44</v>
      </c>
      <c r="N171" s="494">
        <f t="shared" si="22"/>
        <v>253.45882352941177</v>
      </c>
    </row>
    <row r="172" spans="1:14" s="30" customFormat="1" ht="15">
      <c r="A172" s="493">
        <f t="shared" si="23"/>
        <v>34</v>
      </c>
      <c r="B172" s="498" t="s">
        <v>872</v>
      </c>
      <c r="C172" s="498" t="s">
        <v>839</v>
      </c>
      <c r="D172" s="498">
        <v>400</v>
      </c>
      <c r="E172" s="498">
        <f t="shared" si="21"/>
        <v>577.5</v>
      </c>
      <c r="F172" s="503">
        <v>23.1</v>
      </c>
      <c r="G172" s="495">
        <f t="shared" si="24"/>
        <v>151.2514285714286</v>
      </c>
      <c r="H172" s="495">
        <v>137</v>
      </c>
      <c r="I172" s="496">
        <v>178</v>
      </c>
      <c r="J172" s="496">
        <v>195</v>
      </c>
      <c r="K172" s="496">
        <f t="shared" si="25"/>
        <v>242.85714285714283</v>
      </c>
      <c r="L172" s="499">
        <f t="shared" si="26"/>
        <v>0.4205318491032776</v>
      </c>
      <c r="M172" s="495">
        <f>400*0.85-G172</f>
        <v>188.7485714285714</v>
      </c>
      <c r="N172" s="494">
        <f t="shared" si="22"/>
        <v>222.05714285714285</v>
      </c>
    </row>
    <row r="173" spans="1:14" s="30" customFormat="1" ht="15">
      <c r="A173" s="493">
        <f t="shared" si="23"/>
        <v>35</v>
      </c>
      <c r="B173" s="498" t="s">
        <v>873</v>
      </c>
      <c r="C173" s="498" t="s">
        <v>851</v>
      </c>
      <c r="D173" s="498">
        <v>400</v>
      </c>
      <c r="E173" s="498">
        <f t="shared" si="21"/>
        <v>577.5</v>
      </c>
      <c r="F173" s="503">
        <v>23.1</v>
      </c>
      <c r="G173" s="495">
        <f t="shared" si="24"/>
        <v>301.02</v>
      </c>
      <c r="H173" s="495">
        <v>309</v>
      </c>
      <c r="I173" s="496">
        <v>392</v>
      </c>
      <c r="J173" s="496">
        <v>314</v>
      </c>
      <c r="K173" s="496">
        <f t="shared" si="25"/>
        <v>483.33333333333326</v>
      </c>
      <c r="L173" s="499">
        <f t="shared" si="26"/>
        <v>0.8369408369408368</v>
      </c>
      <c r="M173" s="501">
        <f>400*0.85-G173</f>
        <v>38.98000000000002</v>
      </c>
      <c r="N173" s="502">
        <f t="shared" si="22"/>
        <v>45.85882352941179</v>
      </c>
    </row>
    <row r="174" spans="1:14" s="30" customFormat="1" ht="15">
      <c r="A174" s="493">
        <f t="shared" si="23"/>
        <v>36</v>
      </c>
      <c r="B174" s="498" t="s">
        <v>874</v>
      </c>
      <c r="C174" s="498" t="s">
        <v>868</v>
      </c>
      <c r="D174" s="498">
        <v>320</v>
      </c>
      <c r="E174" s="498">
        <f t="shared" si="21"/>
        <v>462.5</v>
      </c>
      <c r="F174" s="503">
        <v>18.5</v>
      </c>
      <c r="G174" s="495">
        <f t="shared" si="24"/>
        <v>94.60628571428572</v>
      </c>
      <c r="H174" s="495">
        <v>143</v>
      </c>
      <c r="I174" s="496">
        <v>95</v>
      </c>
      <c r="J174" s="496">
        <v>81</v>
      </c>
      <c r="K174" s="496">
        <f t="shared" si="25"/>
        <v>151.9047619047619</v>
      </c>
      <c r="L174" s="499">
        <f t="shared" si="26"/>
        <v>0.3284427284427284</v>
      </c>
      <c r="M174" s="495">
        <f>320*0.85-G174-G175</f>
        <v>63.213714285714275</v>
      </c>
      <c r="N174" s="494">
        <f t="shared" si="22"/>
        <v>74.36907563025208</v>
      </c>
    </row>
    <row r="175" spans="1:14" s="30" customFormat="1" ht="15">
      <c r="A175" s="493">
        <f t="shared" si="23"/>
        <v>37</v>
      </c>
      <c r="B175" s="498" t="s">
        <v>875</v>
      </c>
      <c r="C175" s="498" t="s">
        <v>851</v>
      </c>
      <c r="D175" s="498">
        <v>400</v>
      </c>
      <c r="E175" s="498">
        <f t="shared" si="21"/>
        <v>577.5</v>
      </c>
      <c r="F175" s="503">
        <v>23.1</v>
      </c>
      <c r="G175" s="495">
        <f t="shared" si="24"/>
        <v>114.18</v>
      </c>
      <c r="H175" s="495">
        <v>92</v>
      </c>
      <c r="I175" s="496">
        <v>142</v>
      </c>
      <c r="J175" s="496">
        <v>151</v>
      </c>
      <c r="K175" s="496">
        <f t="shared" si="25"/>
        <v>183.33333333333337</v>
      </c>
      <c r="L175" s="499">
        <f t="shared" si="26"/>
        <v>0.3174603174603175</v>
      </c>
      <c r="M175" s="495">
        <f>400*0.85-G175-G174</f>
        <v>131.21371428571427</v>
      </c>
      <c r="N175" s="494">
        <f t="shared" si="22"/>
        <v>154.3690756302521</v>
      </c>
    </row>
    <row r="176" spans="1:14" s="30" customFormat="1" ht="15">
      <c r="A176" s="493">
        <f t="shared" si="23"/>
        <v>38</v>
      </c>
      <c r="B176" s="498" t="s">
        <v>876</v>
      </c>
      <c r="C176" s="500" t="s">
        <v>839</v>
      </c>
      <c r="D176" s="500">
        <v>400</v>
      </c>
      <c r="E176" s="498">
        <f t="shared" si="21"/>
        <v>577.5</v>
      </c>
      <c r="F176" s="503">
        <v>23.1</v>
      </c>
      <c r="G176" s="495">
        <f t="shared" si="24"/>
        <v>159.852</v>
      </c>
      <c r="H176" s="495">
        <v>177</v>
      </c>
      <c r="I176" s="496">
        <v>217</v>
      </c>
      <c r="J176" s="496">
        <v>145</v>
      </c>
      <c r="K176" s="496">
        <f t="shared" si="25"/>
        <v>256.66666666666663</v>
      </c>
      <c r="L176" s="499">
        <f t="shared" si="26"/>
        <v>0.44444444444444436</v>
      </c>
      <c r="M176" s="495">
        <f>400*0.85-G176</f>
        <v>180.148</v>
      </c>
      <c r="N176" s="494">
        <f t="shared" si="22"/>
        <v>211.93882352941176</v>
      </c>
    </row>
    <row r="177" spans="1:14" s="30" customFormat="1" ht="15">
      <c r="A177" s="493">
        <f t="shared" si="23"/>
        <v>39</v>
      </c>
      <c r="B177" s="498" t="s">
        <v>877</v>
      </c>
      <c r="C177" s="498" t="s">
        <v>868</v>
      </c>
      <c r="D177" s="498">
        <v>320</v>
      </c>
      <c r="E177" s="498">
        <f t="shared" si="21"/>
        <v>462.5</v>
      </c>
      <c r="F177" s="503">
        <v>18.5</v>
      </c>
      <c r="G177" s="495">
        <f t="shared" si="24"/>
        <v>132.864</v>
      </c>
      <c r="H177" s="495">
        <v>154</v>
      </c>
      <c r="I177" s="496">
        <v>158</v>
      </c>
      <c r="J177" s="496">
        <v>136</v>
      </c>
      <c r="K177" s="496">
        <f t="shared" si="25"/>
        <v>213.33333333333337</v>
      </c>
      <c r="L177" s="499">
        <f t="shared" si="26"/>
        <v>0.4612612612612613</v>
      </c>
      <c r="M177" s="495">
        <f>320*0.85-G177</f>
        <v>139.136</v>
      </c>
      <c r="N177" s="494">
        <f t="shared" si="22"/>
        <v>163.68941176470588</v>
      </c>
    </row>
    <row r="178" spans="1:14" s="30" customFormat="1" ht="15">
      <c r="A178" s="493">
        <f t="shared" si="23"/>
        <v>40</v>
      </c>
      <c r="B178" s="500" t="s">
        <v>878</v>
      </c>
      <c r="C178" s="500" t="s">
        <v>839</v>
      </c>
      <c r="D178" s="500">
        <v>400</v>
      </c>
      <c r="E178" s="500">
        <f t="shared" si="21"/>
        <v>577.5</v>
      </c>
      <c r="F178" s="503">
        <v>23.1</v>
      </c>
      <c r="G178" s="501">
        <f t="shared" si="24"/>
        <v>205.22742857142856</v>
      </c>
      <c r="H178" s="501">
        <v>227</v>
      </c>
      <c r="I178" s="499">
        <v>210</v>
      </c>
      <c r="J178" s="499">
        <v>255</v>
      </c>
      <c r="K178" s="499">
        <f t="shared" si="25"/>
        <v>329.5238095238095</v>
      </c>
      <c r="L178" s="499">
        <f t="shared" si="26"/>
        <v>0.5706039991754277</v>
      </c>
      <c r="M178" s="501">
        <f>400*0.85-G178-G179</f>
        <v>19.40628571428573</v>
      </c>
      <c r="N178" s="502">
        <f t="shared" si="22"/>
        <v>22.83092436974792</v>
      </c>
    </row>
    <row r="179" spans="1:14" s="30" customFormat="1" ht="15">
      <c r="A179" s="493">
        <f t="shared" si="23"/>
        <v>41</v>
      </c>
      <c r="B179" s="500" t="s">
        <v>879</v>
      </c>
      <c r="C179" s="500" t="s">
        <v>839</v>
      </c>
      <c r="D179" s="500">
        <v>400</v>
      </c>
      <c r="E179" s="500">
        <f t="shared" si="21"/>
        <v>577.5</v>
      </c>
      <c r="F179" s="503">
        <v>23.1</v>
      </c>
      <c r="G179" s="501">
        <f t="shared" si="24"/>
        <v>115.36628571428571</v>
      </c>
      <c r="H179" s="501">
        <v>131</v>
      </c>
      <c r="I179" s="499">
        <v>142</v>
      </c>
      <c r="J179" s="499">
        <v>116</v>
      </c>
      <c r="K179" s="499">
        <f t="shared" si="25"/>
        <v>185.2380952380952</v>
      </c>
      <c r="L179" s="499">
        <f t="shared" si="26"/>
        <v>0.3207586064728921</v>
      </c>
      <c r="M179" s="501">
        <f>400*0.85-G179-G178</f>
        <v>19.40628571428573</v>
      </c>
      <c r="N179" s="502">
        <f t="shared" si="22"/>
        <v>22.83092436974792</v>
      </c>
    </row>
    <row r="180" spans="1:14" s="30" customFormat="1" ht="15">
      <c r="A180" s="493">
        <f t="shared" si="23"/>
        <v>42</v>
      </c>
      <c r="B180" s="498" t="s">
        <v>880</v>
      </c>
      <c r="C180" s="498" t="s">
        <v>868</v>
      </c>
      <c r="D180" s="498">
        <v>320</v>
      </c>
      <c r="E180" s="498">
        <f t="shared" si="21"/>
        <v>462.5</v>
      </c>
      <c r="F180" s="503">
        <v>18.5</v>
      </c>
      <c r="G180" s="501">
        <f t="shared" si="24"/>
        <v>112.10400000000001</v>
      </c>
      <c r="H180" s="501">
        <v>162</v>
      </c>
      <c r="I180" s="499">
        <v>92</v>
      </c>
      <c r="J180" s="499">
        <v>124</v>
      </c>
      <c r="K180" s="499">
        <f t="shared" si="25"/>
        <v>180</v>
      </c>
      <c r="L180" s="499">
        <f t="shared" si="26"/>
        <v>0.3891891891891892</v>
      </c>
      <c r="M180" s="501">
        <f>320*0.85-G180-G181</f>
        <v>68.84857142857143</v>
      </c>
      <c r="N180" s="502">
        <f t="shared" si="22"/>
        <v>80.9983193277311</v>
      </c>
    </row>
    <row r="181" spans="1:14" s="30" customFormat="1" ht="15">
      <c r="A181" s="493">
        <f t="shared" si="23"/>
        <v>43</v>
      </c>
      <c r="B181" s="498" t="s">
        <v>881</v>
      </c>
      <c r="C181" s="498" t="s">
        <v>868</v>
      </c>
      <c r="D181" s="498">
        <v>320</v>
      </c>
      <c r="E181" s="498">
        <f t="shared" si="21"/>
        <v>462.5</v>
      </c>
      <c r="F181" s="503">
        <v>18.5</v>
      </c>
      <c r="G181" s="495">
        <f t="shared" si="24"/>
        <v>91.04742857142855</v>
      </c>
      <c r="H181" s="495">
        <v>102</v>
      </c>
      <c r="I181" s="496">
        <v>102</v>
      </c>
      <c r="J181" s="496">
        <v>103</v>
      </c>
      <c r="K181" s="496">
        <f t="shared" si="25"/>
        <v>146.19047619047618</v>
      </c>
      <c r="L181" s="499">
        <f t="shared" si="26"/>
        <v>0.31608751608751606</v>
      </c>
      <c r="M181" s="495">
        <f>320*0.85-G181-G180</f>
        <v>68.84857142857143</v>
      </c>
      <c r="N181" s="494">
        <f t="shared" si="22"/>
        <v>80.9983193277311</v>
      </c>
    </row>
    <row r="182" spans="1:14" s="30" customFormat="1" ht="15">
      <c r="A182" s="493">
        <f t="shared" si="23"/>
        <v>44</v>
      </c>
      <c r="B182" s="503" t="s">
        <v>882</v>
      </c>
      <c r="C182" s="503" t="s">
        <v>883</v>
      </c>
      <c r="D182" s="503">
        <v>630</v>
      </c>
      <c r="E182" s="498">
        <f t="shared" si="21"/>
        <v>910</v>
      </c>
      <c r="F182" s="503">
        <v>36.4</v>
      </c>
      <c r="G182" s="504">
        <f t="shared" si="24"/>
        <v>126.04285714285714</v>
      </c>
      <c r="H182" s="504">
        <v>157</v>
      </c>
      <c r="I182" s="505">
        <v>129</v>
      </c>
      <c r="J182" s="505">
        <v>139</v>
      </c>
      <c r="K182" s="496">
        <f t="shared" si="25"/>
        <v>202.38095238095238</v>
      </c>
      <c r="L182" s="499">
        <f t="shared" si="26"/>
        <v>0.22239665096807953</v>
      </c>
      <c r="M182" s="504">
        <f>630*0.85-G182-G183</f>
        <v>156.77828571428572</v>
      </c>
      <c r="N182" s="494">
        <f t="shared" si="22"/>
        <v>184.44504201680672</v>
      </c>
    </row>
    <row r="183" spans="1:15" s="30" customFormat="1" ht="15">
      <c r="A183" s="493">
        <f t="shared" si="23"/>
        <v>45</v>
      </c>
      <c r="B183" s="500" t="s">
        <v>884</v>
      </c>
      <c r="C183" s="500" t="s">
        <v>851</v>
      </c>
      <c r="D183" s="500">
        <v>400</v>
      </c>
      <c r="E183" s="498">
        <f t="shared" si="21"/>
        <v>577.5</v>
      </c>
      <c r="F183" s="503">
        <v>23.1</v>
      </c>
      <c r="G183" s="501">
        <f t="shared" si="24"/>
        <v>252.67885714285714</v>
      </c>
      <c r="H183" s="501">
        <v>284</v>
      </c>
      <c r="I183" s="499">
        <v>284</v>
      </c>
      <c r="J183" s="499">
        <v>284</v>
      </c>
      <c r="K183" s="496">
        <f t="shared" si="25"/>
        <v>405.71428571428567</v>
      </c>
      <c r="L183" s="499">
        <f t="shared" si="26"/>
        <v>0.7025355596784167</v>
      </c>
      <c r="M183" s="501">
        <f>400*0.85-G183-G182</f>
        <v>-38.721714285714285</v>
      </c>
      <c r="N183" s="502">
        <f t="shared" si="22"/>
        <v>-45.554957983193276</v>
      </c>
      <c r="O183" s="506"/>
    </row>
    <row r="184" spans="1:15" s="507" customFormat="1" ht="15">
      <c r="A184" s="493">
        <f t="shared" si="23"/>
        <v>46</v>
      </c>
      <c r="B184" s="500" t="s">
        <v>885</v>
      </c>
      <c r="C184" s="500" t="s">
        <v>851</v>
      </c>
      <c r="D184" s="500">
        <v>400</v>
      </c>
      <c r="E184" s="498">
        <f t="shared" si="21"/>
        <v>577.5</v>
      </c>
      <c r="F184" s="503">
        <v>23.1</v>
      </c>
      <c r="G184" s="495">
        <f t="shared" si="24"/>
        <v>108.54514285714286</v>
      </c>
      <c r="H184" s="495">
        <v>119</v>
      </c>
      <c r="I184" s="496">
        <v>135</v>
      </c>
      <c r="J184" s="496">
        <v>112</v>
      </c>
      <c r="K184" s="496">
        <f t="shared" si="25"/>
        <v>174.28571428571428</v>
      </c>
      <c r="L184" s="499">
        <f t="shared" si="26"/>
        <v>0.3017934446505875</v>
      </c>
      <c r="M184" s="495">
        <f>400*0.85-G184-G185</f>
        <v>146.63542857142858</v>
      </c>
      <c r="N184" s="494">
        <f t="shared" si="22"/>
        <v>172.51226890756303</v>
      </c>
      <c r="O184" s="30"/>
    </row>
    <row r="185" spans="1:15" s="507" customFormat="1" ht="15">
      <c r="A185" s="493">
        <f t="shared" si="23"/>
        <v>47</v>
      </c>
      <c r="B185" s="500" t="s">
        <v>886</v>
      </c>
      <c r="C185" s="500" t="s">
        <v>887</v>
      </c>
      <c r="D185" s="500">
        <v>400</v>
      </c>
      <c r="E185" s="498">
        <f t="shared" si="21"/>
        <v>577.5</v>
      </c>
      <c r="F185" s="503">
        <v>23.1</v>
      </c>
      <c r="G185" s="495">
        <f t="shared" si="24"/>
        <v>84.81942857142856</v>
      </c>
      <c r="H185" s="495">
        <v>116</v>
      </c>
      <c r="I185" s="496">
        <v>80</v>
      </c>
      <c r="J185" s="496">
        <v>90</v>
      </c>
      <c r="K185" s="496">
        <f t="shared" si="25"/>
        <v>136.19047619047618</v>
      </c>
      <c r="L185" s="499">
        <f t="shared" si="26"/>
        <v>0.23582766439909295</v>
      </c>
      <c r="M185" s="495">
        <f>400*0.85-G185-G184</f>
        <v>146.63542857142858</v>
      </c>
      <c r="N185" s="494">
        <f t="shared" si="22"/>
        <v>172.51226890756303</v>
      </c>
      <c r="O185" s="30"/>
    </row>
    <row r="186" spans="1:14" s="30" customFormat="1" ht="15">
      <c r="A186" s="493">
        <f t="shared" si="23"/>
        <v>48</v>
      </c>
      <c r="B186" s="500" t="s">
        <v>888</v>
      </c>
      <c r="C186" s="500" t="s">
        <v>868</v>
      </c>
      <c r="D186" s="500">
        <v>320</v>
      </c>
      <c r="E186" s="498">
        <f t="shared" si="21"/>
        <v>462.5</v>
      </c>
      <c r="F186" s="503">
        <v>18.5</v>
      </c>
      <c r="G186" s="495">
        <f t="shared" si="24"/>
        <v>145.02342857142858</v>
      </c>
      <c r="H186" s="495">
        <v>159</v>
      </c>
      <c r="I186" s="496">
        <v>209</v>
      </c>
      <c r="J186" s="496">
        <v>121</v>
      </c>
      <c r="K186" s="496">
        <f t="shared" si="25"/>
        <v>232.85714285714283</v>
      </c>
      <c r="L186" s="499">
        <f t="shared" si="26"/>
        <v>0.5034749034749034</v>
      </c>
      <c r="M186" s="495">
        <f>320*0.85-G186</f>
        <v>126.97657142857142</v>
      </c>
      <c r="N186" s="494">
        <f t="shared" si="22"/>
        <v>149.38420168067225</v>
      </c>
    </row>
    <row r="187" spans="1:14" s="30" customFormat="1" ht="15">
      <c r="A187" s="493">
        <f t="shared" si="23"/>
        <v>49</v>
      </c>
      <c r="B187" s="500" t="s">
        <v>889</v>
      </c>
      <c r="C187" s="500" t="s">
        <v>887</v>
      </c>
      <c r="D187" s="500">
        <v>400</v>
      </c>
      <c r="E187" s="498">
        <f t="shared" si="21"/>
        <v>577.5</v>
      </c>
      <c r="F187" s="503">
        <v>23.1</v>
      </c>
      <c r="G187" s="495">
        <f t="shared" si="24"/>
        <v>3.2622857142857145</v>
      </c>
      <c r="H187" s="495">
        <v>9</v>
      </c>
      <c r="I187" s="496">
        <v>2</v>
      </c>
      <c r="J187" s="496">
        <v>0</v>
      </c>
      <c r="K187" s="496">
        <f t="shared" si="25"/>
        <v>5.238095238095238</v>
      </c>
      <c r="L187" s="499">
        <f t="shared" si="26"/>
        <v>0.009070294784580499</v>
      </c>
      <c r="M187" s="495">
        <f>400*0.85-G187-G188</f>
        <v>291.65885714285713</v>
      </c>
      <c r="N187" s="494">
        <f t="shared" si="22"/>
        <v>343.1280672268908</v>
      </c>
    </row>
    <row r="188" spans="1:14" s="30" customFormat="1" ht="15">
      <c r="A188" s="493">
        <f t="shared" si="23"/>
        <v>50</v>
      </c>
      <c r="B188" s="500" t="s">
        <v>890</v>
      </c>
      <c r="C188" s="500" t="s">
        <v>887</v>
      </c>
      <c r="D188" s="500">
        <v>400</v>
      </c>
      <c r="E188" s="498">
        <f t="shared" si="21"/>
        <v>577.5</v>
      </c>
      <c r="F188" s="503">
        <v>23.1</v>
      </c>
      <c r="G188" s="495">
        <f t="shared" si="24"/>
        <v>45.07885714285714</v>
      </c>
      <c r="H188" s="495">
        <v>72</v>
      </c>
      <c r="I188" s="496">
        <v>43</v>
      </c>
      <c r="J188" s="496">
        <v>37</v>
      </c>
      <c r="K188" s="496">
        <f t="shared" si="25"/>
        <v>72.38095238095238</v>
      </c>
      <c r="L188" s="499">
        <f t="shared" si="26"/>
        <v>0.1253349824778396</v>
      </c>
      <c r="M188" s="495">
        <f>400*0.85-G188-G187</f>
        <v>291.65885714285713</v>
      </c>
      <c r="N188" s="494">
        <f t="shared" si="22"/>
        <v>343.1280672268908</v>
      </c>
    </row>
    <row r="189" spans="1:14" s="30" customFormat="1" ht="15">
      <c r="A189" s="493">
        <f t="shared" si="23"/>
        <v>51</v>
      </c>
      <c r="B189" s="500" t="s">
        <v>891</v>
      </c>
      <c r="C189" s="498" t="s">
        <v>839</v>
      </c>
      <c r="D189" s="498">
        <v>400</v>
      </c>
      <c r="E189" s="498">
        <f t="shared" si="21"/>
        <v>577.5</v>
      </c>
      <c r="F189" s="503">
        <v>23.1</v>
      </c>
      <c r="G189" s="495">
        <f t="shared" si="24"/>
        <v>88.08171428571428</v>
      </c>
      <c r="H189" s="495">
        <v>82</v>
      </c>
      <c r="I189" s="496">
        <v>104</v>
      </c>
      <c r="J189" s="496">
        <v>111</v>
      </c>
      <c r="K189" s="496">
        <f t="shared" si="25"/>
        <v>141.42857142857142</v>
      </c>
      <c r="L189" s="499">
        <f t="shared" si="26"/>
        <v>0.24489795918367344</v>
      </c>
      <c r="M189" s="501">
        <f>400*0.85-G189-G190</f>
        <v>81.68628571428573</v>
      </c>
      <c r="N189" s="502">
        <f t="shared" si="22"/>
        <v>96.10151260504203</v>
      </c>
    </row>
    <row r="190" spans="1:15" s="30" customFormat="1" ht="15">
      <c r="A190" s="493">
        <f t="shared" si="23"/>
        <v>52</v>
      </c>
      <c r="B190" s="500" t="s">
        <v>892</v>
      </c>
      <c r="C190" s="498" t="s">
        <v>839</v>
      </c>
      <c r="D190" s="498">
        <v>400</v>
      </c>
      <c r="E190" s="498">
        <f t="shared" si="21"/>
        <v>577.5</v>
      </c>
      <c r="F190" s="503">
        <v>23.1</v>
      </c>
      <c r="G190" s="495">
        <f t="shared" si="24"/>
        <v>170.232</v>
      </c>
      <c r="H190" s="495">
        <v>208</v>
      </c>
      <c r="I190" s="496">
        <v>193</v>
      </c>
      <c r="J190" s="496">
        <v>173</v>
      </c>
      <c r="K190" s="496">
        <f t="shared" si="25"/>
        <v>273.33333333333337</v>
      </c>
      <c r="L190" s="499">
        <f t="shared" si="26"/>
        <v>0.4733044733044734</v>
      </c>
      <c r="M190" s="501">
        <f>400*0.85-G190-G189</f>
        <v>81.68628571428572</v>
      </c>
      <c r="N190" s="502">
        <f t="shared" si="22"/>
        <v>96.10151260504202</v>
      </c>
      <c r="O190" s="507"/>
    </row>
    <row r="191" spans="1:15" s="30" customFormat="1" ht="15">
      <c r="A191" s="493">
        <f t="shared" si="23"/>
        <v>53</v>
      </c>
      <c r="B191" s="498" t="s">
        <v>893</v>
      </c>
      <c r="C191" s="498" t="s">
        <v>856</v>
      </c>
      <c r="D191" s="498">
        <v>250</v>
      </c>
      <c r="E191" s="498">
        <f t="shared" si="21"/>
        <v>362.5</v>
      </c>
      <c r="F191" s="498">
        <v>14.5</v>
      </c>
      <c r="G191" s="495">
        <f t="shared" si="24"/>
        <v>54.56914285714285</v>
      </c>
      <c r="H191" s="495">
        <v>63</v>
      </c>
      <c r="I191" s="496">
        <v>67</v>
      </c>
      <c r="J191" s="496">
        <v>54</v>
      </c>
      <c r="K191" s="496">
        <f t="shared" si="25"/>
        <v>87.61904761904762</v>
      </c>
      <c r="L191" s="499">
        <f t="shared" si="26"/>
        <v>0.24170771756978654</v>
      </c>
      <c r="M191" s="495">
        <f>250*0.85-G191-G192</f>
        <v>120.26628571428571</v>
      </c>
      <c r="N191" s="494">
        <f t="shared" si="22"/>
        <v>141.48974789915968</v>
      </c>
      <c r="O191" s="507"/>
    </row>
    <row r="192" spans="1:14" s="30" customFormat="1" ht="15">
      <c r="A192" s="493">
        <f t="shared" si="23"/>
        <v>54</v>
      </c>
      <c r="B192" s="498" t="s">
        <v>894</v>
      </c>
      <c r="C192" s="498" t="s">
        <v>856</v>
      </c>
      <c r="D192" s="498">
        <v>250</v>
      </c>
      <c r="E192" s="498">
        <f t="shared" si="21"/>
        <v>362.5</v>
      </c>
      <c r="F192" s="498">
        <v>14.5</v>
      </c>
      <c r="G192" s="495">
        <f t="shared" si="24"/>
        <v>37.66457142857143</v>
      </c>
      <c r="H192" s="495">
        <v>31</v>
      </c>
      <c r="I192" s="496">
        <v>59</v>
      </c>
      <c r="J192" s="496">
        <v>37</v>
      </c>
      <c r="K192" s="496">
        <f t="shared" si="25"/>
        <v>60.47619047619048</v>
      </c>
      <c r="L192" s="499">
        <f t="shared" si="26"/>
        <v>0.16683087027914614</v>
      </c>
      <c r="M192" s="495">
        <f>250*0.85-G192-G191</f>
        <v>120.26628571428571</v>
      </c>
      <c r="N192" s="494">
        <f t="shared" si="22"/>
        <v>141.48974789915968</v>
      </c>
    </row>
    <row r="193" spans="1:14" s="30" customFormat="1" ht="15">
      <c r="A193" s="493">
        <f t="shared" si="23"/>
        <v>55</v>
      </c>
      <c r="B193" s="498" t="s">
        <v>895</v>
      </c>
      <c r="C193" s="498" t="s">
        <v>828</v>
      </c>
      <c r="D193" s="498">
        <v>160</v>
      </c>
      <c r="E193" s="498">
        <f t="shared" si="21"/>
        <v>229.99999999999997</v>
      </c>
      <c r="F193" s="503">
        <v>9.2</v>
      </c>
      <c r="G193" s="495">
        <f t="shared" si="24"/>
        <v>2.076</v>
      </c>
      <c r="H193" s="495">
        <v>0</v>
      </c>
      <c r="I193" s="496">
        <v>0</v>
      </c>
      <c r="J193" s="496">
        <v>7</v>
      </c>
      <c r="K193" s="496">
        <f t="shared" si="25"/>
        <v>3.333333333333334</v>
      </c>
      <c r="L193" s="499">
        <f t="shared" si="26"/>
        <v>0.01449275362318841</v>
      </c>
      <c r="M193" s="495">
        <f>160*0.85-G193</f>
        <v>133.924</v>
      </c>
      <c r="N193" s="494">
        <f t="shared" si="22"/>
        <v>157.55764705882353</v>
      </c>
    </row>
    <row r="194" spans="1:14" s="30" customFormat="1" ht="15">
      <c r="A194" s="493">
        <f t="shared" si="23"/>
        <v>56</v>
      </c>
      <c r="B194" s="498" t="s">
        <v>896</v>
      </c>
      <c r="C194" s="498" t="s">
        <v>828</v>
      </c>
      <c r="D194" s="498">
        <v>160</v>
      </c>
      <c r="E194" s="498">
        <f t="shared" si="21"/>
        <v>229.99999999999997</v>
      </c>
      <c r="F194" s="503">
        <v>9.2</v>
      </c>
      <c r="G194" s="495">
        <f t="shared" si="24"/>
        <v>34.995428571428576</v>
      </c>
      <c r="H194" s="495">
        <v>40</v>
      </c>
      <c r="I194" s="496">
        <v>40</v>
      </c>
      <c r="J194" s="496">
        <v>38</v>
      </c>
      <c r="K194" s="496">
        <f t="shared" si="25"/>
        <v>56.1904761904762</v>
      </c>
      <c r="L194" s="499">
        <f t="shared" si="26"/>
        <v>0.24430641821946175</v>
      </c>
      <c r="M194" s="495">
        <f>160*0.85-G194</f>
        <v>101.00457142857142</v>
      </c>
      <c r="N194" s="494">
        <f t="shared" si="22"/>
        <v>118.82890756302521</v>
      </c>
    </row>
    <row r="195" spans="1:14" s="30" customFormat="1" ht="15">
      <c r="A195" s="493">
        <f t="shared" si="23"/>
        <v>57</v>
      </c>
      <c r="B195" s="498" t="s">
        <v>897</v>
      </c>
      <c r="C195" s="498" t="s">
        <v>868</v>
      </c>
      <c r="D195" s="498">
        <v>320</v>
      </c>
      <c r="E195" s="498">
        <f t="shared" si="21"/>
        <v>462.5</v>
      </c>
      <c r="F195" s="503">
        <v>18.5</v>
      </c>
      <c r="G195" s="495">
        <f t="shared" si="24"/>
        <v>71.47371428571428</v>
      </c>
      <c r="H195" s="495">
        <v>78</v>
      </c>
      <c r="I195" s="496">
        <v>80</v>
      </c>
      <c r="J195" s="496">
        <v>83</v>
      </c>
      <c r="K195" s="496">
        <f t="shared" si="25"/>
        <v>114.76190476190476</v>
      </c>
      <c r="L195" s="499">
        <f t="shared" si="26"/>
        <v>0.24813384813384812</v>
      </c>
      <c r="M195" s="495">
        <f>320*0.85-G195-G196</f>
        <v>183.91828571428573</v>
      </c>
      <c r="N195" s="494">
        <f t="shared" si="22"/>
        <v>216.37445378151264</v>
      </c>
    </row>
    <row r="196" spans="1:14" s="30" customFormat="1" ht="15">
      <c r="A196" s="493">
        <f t="shared" si="23"/>
        <v>58</v>
      </c>
      <c r="B196" s="500" t="s">
        <v>898</v>
      </c>
      <c r="C196" s="500" t="s">
        <v>851</v>
      </c>
      <c r="D196" s="500">
        <v>400</v>
      </c>
      <c r="E196" s="498">
        <f t="shared" si="21"/>
        <v>577.5</v>
      </c>
      <c r="F196" s="503">
        <v>23.1</v>
      </c>
      <c r="G196" s="495">
        <f t="shared" si="24"/>
        <v>16.608</v>
      </c>
      <c r="H196" s="495">
        <v>16</v>
      </c>
      <c r="I196" s="496">
        <v>24</v>
      </c>
      <c r="J196" s="496">
        <v>16</v>
      </c>
      <c r="K196" s="496">
        <f t="shared" si="25"/>
        <v>26.66666666666667</v>
      </c>
      <c r="L196" s="499">
        <f t="shared" si="26"/>
        <v>0.04617604617604618</v>
      </c>
      <c r="M196" s="495">
        <f>400*0.85-G196-G195</f>
        <v>251.91828571428573</v>
      </c>
      <c r="N196" s="494">
        <f t="shared" si="22"/>
        <v>296.3744537815126</v>
      </c>
    </row>
    <row r="197" spans="1:14" s="30" customFormat="1" ht="15">
      <c r="A197" s="493">
        <f t="shared" si="23"/>
        <v>59</v>
      </c>
      <c r="B197" s="500" t="s">
        <v>899</v>
      </c>
      <c r="C197" s="500" t="s">
        <v>900</v>
      </c>
      <c r="D197" s="500">
        <v>200</v>
      </c>
      <c r="E197" s="498">
        <f t="shared" si="21"/>
        <v>287.5</v>
      </c>
      <c r="F197" s="503">
        <v>11.5</v>
      </c>
      <c r="G197" s="495">
        <f t="shared" si="24"/>
        <v>0</v>
      </c>
      <c r="H197" s="495">
        <v>0</v>
      </c>
      <c r="I197" s="496">
        <v>0</v>
      </c>
      <c r="J197" s="508">
        <v>0</v>
      </c>
      <c r="K197" s="496">
        <f t="shared" si="25"/>
        <v>0</v>
      </c>
      <c r="L197" s="499">
        <f t="shared" si="26"/>
        <v>0</v>
      </c>
      <c r="M197" s="495">
        <f>200*0.85-G197</f>
        <v>170</v>
      </c>
      <c r="N197" s="494">
        <f t="shared" si="22"/>
        <v>200</v>
      </c>
    </row>
    <row r="198" spans="1:14" s="30" customFormat="1" ht="15">
      <c r="A198" s="493">
        <f t="shared" si="23"/>
        <v>60</v>
      </c>
      <c r="B198" s="500" t="s">
        <v>901</v>
      </c>
      <c r="C198" s="500" t="s">
        <v>902</v>
      </c>
      <c r="D198" s="500">
        <v>160</v>
      </c>
      <c r="E198" s="498">
        <f t="shared" si="21"/>
        <v>229.99999999999997</v>
      </c>
      <c r="F198" s="503">
        <v>9.2</v>
      </c>
      <c r="G198" s="495">
        <f t="shared" si="24"/>
        <v>11.269714285714285</v>
      </c>
      <c r="H198" s="495">
        <v>19</v>
      </c>
      <c r="I198" s="496">
        <v>10</v>
      </c>
      <c r="J198" s="496">
        <v>9</v>
      </c>
      <c r="K198" s="496">
        <f t="shared" si="25"/>
        <v>18.095238095238095</v>
      </c>
      <c r="L198" s="499">
        <f t="shared" si="26"/>
        <v>0.07867494824016565</v>
      </c>
      <c r="M198" s="495">
        <f>160*0.85-G198</f>
        <v>124.73028571428571</v>
      </c>
      <c r="N198" s="494">
        <f t="shared" si="22"/>
        <v>146.74151260504203</v>
      </c>
    </row>
    <row r="199" spans="1:14" s="30" customFormat="1" ht="15">
      <c r="A199" s="493"/>
      <c r="B199" s="509" t="s">
        <v>903</v>
      </c>
      <c r="C199" s="498"/>
      <c r="D199" s="510">
        <f>SUM(D139:D198)</f>
        <v>22040</v>
      </c>
      <c r="E199" s="510"/>
      <c r="F199" s="498"/>
      <c r="G199" s="498"/>
      <c r="H199" s="498"/>
      <c r="I199" s="498"/>
      <c r="J199" s="498"/>
      <c r="K199" s="508"/>
      <c r="L199" s="508"/>
      <c r="M199" s="511">
        <f>SUM(M139:M198)/2</f>
        <v>4321.949285714287</v>
      </c>
      <c r="N199" s="512">
        <f>SUM(N139:N198)/2</f>
        <v>5084.646218487394</v>
      </c>
    </row>
    <row r="200" spans="1:14" s="30" customFormat="1" ht="15">
      <c r="A200" s="493"/>
      <c r="B200" s="656" t="s">
        <v>904</v>
      </c>
      <c r="C200" s="656"/>
      <c r="D200" s="656"/>
      <c r="E200" s="656"/>
      <c r="F200" s="656"/>
      <c r="G200" s="656"/>
      <c r="H200" s="656"/>
      <c r="I200" s="656"/>
      <c r="J200" s="656"/>
      <c r="K200" s="656"/>
      <c r="L200" s="656"/>
      <c r="M200" s="656"/>
      <c r="N200" s="513"/>
    </row>
    <row r="201" spans="1:14" s="30" customFormat="1" ht="15">
      <c r="A201" s="514">
        <v>1</v>
      </c>
      <c r="B201" s="500" t="s">
        <v>905</v>
      </c>
      <c r="C201" s="500" t="s">
        <v>906</v>
      </c>
      <c r="D201" s="500">
        <v>10000</v>
      </c>
      <c r="E201" s="515">
        <f>F201*5.83</f>
        <v>962.840627580512</v>
      </c>
      <c r="F201" s="515">
        <f>10000/1.73/35</f>
        <v>165.15276630883568</v>
      </c>
      <c r="G201" s="501">
        <v>2613</v>
      </c>
      <c r="H201" s="516">
        <v>266</v>
      </c>
      <c r="I201" s="517">
        <v>266</v>
      </c>
      <c r="J201" s="517">
        <v>266</v>
      </c>
      <c r="K201" s="499">
        <f>G201/(1.73*6.3*0.9)</f>
        <v>266.3852952870294</v>
      </c>
      <c r="L201" s="499">
        <f aca="true" t="shared" si="27" ref="L201:L264">K201/E201</f>
        <v>0.27666603138301255</v>
      </c>
      <c r="M201" s="501">
        <f>(10000*0.85-G201-G202)*0.9-650</f>
        <v>2908.6</v>
      </c>
      <c r="N201" s="501">
        <f aca="true" t="shared" si="28" ref="N201:N264">M201/0.85</f>
        <v>3421.8823529411766</v>
      </c>
    </row>
    <row r="202" spans="1:14" s="30" customFormat="1" ht="15">
      <c r="A202" s="514">
        <f aca="true" t="shared" si="29" ref="A202:A263">A201+1</f>
        <v>2</v>
      </c>
      <c r="B202" s="500" t="s">
        <v>907</v>
      </c>
      <c r="C202" s="500" t="s">
        <v>906</v>
      </c>
      <c r="D202" s="500">
        <v>10000</v>
      </c>
      <c r="E202" s="515">
        <f>F202*5.83</f>
        <v>962.840627580512</v>
      </c>
      <c r="F202" s="515">
        <f>10000/1.73/35</f>
        <v>165.15276630883568</v>
      </c>
      <c r="G202" s="501">
        <v>1933</v>
      </c>
      <c r="H202" s="516">
        <v>197</v>
      </c>
      <c r="I202" s="517">
        <v>197</v>
      </c>
      <c r="J202" s="517">
        <v>197</v>
      </c>
      <c r="K202" s="499">
        <f>G202/(1.73*6.3*0.9)</f>
        <v>197.06191189813543</v>
      </c>
      <c r="L202" s="499">
        <f t="shared" si="27"/>
        <v>0.20466721724583362</v>
      </c>
      <c r="M202" s="501">
        <f>(10000*0.85-G202-G201)*0.9-650</f>
        <v>2908.6</v>
      </c>
      <c r="N202" s="501">
        <f t="shared" si="28"/>
        <v>3421.8823529411766</v>
      </c>
    </row>
    <row r="203" spans="1:14" s="30" customFormat="1" ht="15">
      <c r="A203" s="493">
        <f t="shared" si="29"/>
        <v>3</v>
      </c>
      <c r="B203" s="493" t="s">
        <v>835</v>
      </c>
      <c r="C203" s="500" t="s">
        <v>908</v>
      </c>
      <c r="D203" s="500">
        <v>630</v>
      </c>
      <c r="E203" s="500">
        <f aca="true" t="shared" si="30" ref="E203:E215">F203*15</f>
        <v>910.5</v>
      </c>
      <c r="F203" s="500">
        <v>60.7</v>
      </c>
      <c r="G203" s="494">
        <f aca="true" t="shared" si="31" ref="G203:G265">1.73*0.4*0.9*((H203+I203+J203)/3)/7*10</f>
        <v>360.24531428571424</v>
      </c>
      <c r="H203" s="495">
        <v>388.8</v>
      </c>
      <c r="I203" s="496">
        <v>431.99999999999994</v>
      </c>
      <c r="J203" s="496">
        <v>393.9</v>
      </c>
      <c r="K203" s="518">
        <f aca="true" t="shared" si="32" ref="K203:K265">(H203+I203+J203)/3/7*10</f>
        <v>578.4285714285713</v>
      </c>
      <c r="L203" s="518">
        <f t="shared" si="27"/>
        <v>0.6352867341335215</v>
      </c>
      <c r="M203" s="502">
        <f>(630*0.85-G203-G204)*0.352</f>
        <v>33.012853028571435</v>
      </c>
      <c r="N203" s="502">
        <f t="shared" si="28"/>
        <v>38.83865062184875</v>
      </c>
    </row>
    <row r="204" spans="1:14" s="30" customFormat="1" ht="15">
      <c r="A204" s="493">
        <f t="shared" si="29"/>
        <v>4</v>
      </c>
      <c r="B204" s="493" t="s">
        <v>837</v>
      </c>
      <c r="C204" s="500" t="s">
        <v>908</v>
      </c>
      <c r="D204" s="500">
        <v>630</v>
      </c>
      <c r="E204" s="500">
        <f t="shared" si="30"/>
        <v>910.5</v>
      </c>
      <c r="F204" s="500">
        <v>60.7</v>
      </c>
      <c r="G204" s="494">
        <f t="shared" si="31"/>
        <v>81.46817142857144</v>
      </c>
      <c r="H204" s="495">
        <v>79.20000000000002</v>
      </c>
      <c r="I204" s="496">
        <v>106.4</v>
      </c>
      <c r="J204" s="496">
        <v>89.1</v>
      </c>
      <c r="K204" s="518">
        <f t="shared" si="32"/>
        <v>130.80952380952382</v>
      </c>
      <c r="L204" s="518">
        <f t="shared" si="27"/>
        <v>0.14366779111424913</v>
      </c>
      <c r="M204" s="502">
        <f>(630*0.85-G204-G203)*0.352</f>
        <v>33.012853028571435</v>
      </c>
      <c r="N204" s="502">
        <f t="shared" si="28"/>
        <v>38.83865062184875</v>
      </c>
    </row>
    <row r="205" spans="1:14" s="30" customFormat="1" ht="15">
      <c r="A205" s="493">
        <f t="shared" si="29"/>
        <v>5</v>
      </c>
      <c r="B205" s="493" t="s">
        <v>909</v>
      </c>
      <c r="C205" s="500" t="s">
        <v>910</v>
      </c>
      <c r="D205" s="500">
        <v>400</v>
      </c>
      <c r="E205" s="500">
        <f t="shared" si="30"/>
        <v>577.95</v>
      </c>
      <c r="F205" s="500">
        <v>38.53</v>
      </c>
      <c r="G205" s="494">
        <f t="shared" si="31"/>
        <v>119.51828571428572</v>
      </c>
      <c r="H205" s="495">
        <v>137.70000000000002</v>
      </c>
      <c r="I205" s="496">
        <v>147.2</v>
      </c>
      <c r="J205" s="496">
        <v>118.1</v>
      </c>
      <c r="K205" s="518">
        <f t="shared" si="32"/>
        <v>191.90476190476193</v>
      </c>
      <c r="L205" s="518">
        <f t="shared" si="27"/>
        <v>0.3320438825240279</v>
      </c>
      <c r="M205" s="502">
        <f>(400*0.85-G205-G206)*0.352</f>
        <v>25.12069119999999</v>
      </c>
      <c r="N205" s="502">
        <f t="shared" si="28"/>
        <v>29.553754352941166</v>
      </c>
    </row>
    <row r="206" spans="1:14" s="30" customFormat="1" ht="15">
      <c r="A206" s="493">
        <f t="shared" si="29"/>
        <v>6</v>
      </c>
      <c r="B206" s="493" t="s">
        <v>911</v>
      </c>
      <c r="C206" s="500" t="s">
        <v>910</v>
      </c>
      <c r="D206" s="500">
        <v>400</v>
      </c>
      <c r="E206" s="500">
        <f t="shared" si="30"/>
        <v>577.95</v>
      </c>
      <c r="F206" s="500">
        <v>38.53</v>
      </c>
      <c r="G206" s="494">
        <f t="shared" si="31"/>
        <v>149.1161142857143</v>
      </c>
      <c r="H206" s="495">
        <v>159.3</v>
      </c>
      <c r="I206" s="496">
        <v>169.5</v>
      </c>
      <c r="J206" s="496">
        <v>174</v>
      </c>
      <c r="K206" s="518">
        <f t="shared" si="32"/>
        <v>239.42857142857144</v>
      </c>
      <c r="L206" s="518">
        <f>K206/E206</f>
        <v>0.4142721194369261</v>
      </c>
      <c r="M206" s="502">
        <f>(400*0.85-G206-G205)*0.352</f>
        <v>25.12069119999999</v>
      </c>
      <c r="N206" s="502">
        <f t="shared" si="28"/>
        <v>29.553754352941166</v>
      </c>
    </row>
    <row r="207" spans="1:14" s="30" customFormat="1" ht="15">
      <c r="A207" s="493">
        <f t="shared" si="29"/>
        <v>7</v>
      </c>
      <c r="B207" s="498" t="s">
        <v>912</v>
      </c>
      <c r="C207" s="500" t="s">
        <v>913</v>
      </c>
      <c r="D207" s="500">
        <v>400</v>
      </c>
      <c r="E207" s="500">
        <f t="shared" si="30"/>
        <v>577.95</v>
      </c>
      <c r="F207" s="500">
        <v>38.53</v>
      </c>
      <c r="G207" s="495">
        <f t="shared" si="31"/>
        <v>161.63142857142856</v>
      </c>
      <c r="H207" s="495">
        <v>176</v>
      </c>
      <c r="I207" s="496">
        <v>172</v>
      </c>
      <c r="J207" s="496">
        <v>197</v>
      </c>
      <c r="K207" s="496">
        <f t="shared" si="32"/>
        <v>259.5238095238095</v>
      </c>
      <c r="L207" s="496">
        <f t="shared" si="27"/>
        <v>0.44904197512554633</v>
      </c>
      <c r="M207" s="501">
        <f>(400*0.85-G207-G208)*0.352</f>
        <v>31.259007999999998</v>
      </c>
      <c r="N207" s="502">
        <f t="shared" si="28"/>
        <v>36.775303529411765</v>
      </c>
    </row>
    <row r="208" spans="1:14" s="30" customFormat="1" ht="15">
      <c r="A208" s="493">
        <f t="shared" si="29"/>
        <v>8</v>
      </c>
      <c r="B208" s="498" t="s">
        <v>914</v>
      </c>
      <c r="C208" s="500" t="s">
        <v>913</v>
      </c>
      <c r="D208" s="500">
        <v>400</v>
      </c>
      <c r="E208" s="500">
        <f t="shared" si="30"/>
        <v>577.95</v>
      </c>
      <c r="F208" s="500">
        <v>38.53</v>
      </c>
      <c r="G208" s="495">
        <f t="shared" si="31"/>
        <v>89.56457142857144</v>
      </c>
      <c r="H208" s="495">
        <v>108</v>
      </c>
      <c r="I208" s="496">
        <v>71</v>
      </c>
      <c r="J208" s="496">
        <v>123</v>
      </c>
      <c r="K208" s="496">
        <f t="shared" si="32"/>
        <v>143.80952380952382</v>
      </c>
      <c r="L208" s="496">
        <f t="shared" si="27"/>
        <v>0.24882692933562386</v>
      </c>
      <c r="M208" s="501">
        <f>(400*0.85-G208-G207)*0.352</f>
        <v>31.259007999999998</v>
      </c>
      <c r="N208" s="502">
        <f t="shared" si="28"/>
        <v>36.775303529411765</v>
      </c>
    </row>
    <row r="209" spans="1:14" s="30" customFormat="1" ht="15">
      <c r="A209" s="493">
        <f t="shared" si="29"/>
        <v>9</v>
      </c>
      <c r="B209" s="498" t="s">
        <v>915</v>
      </c>
      <c r="C209" s="500" t="s">
        <v>913</v>
      </c>
      <c r="D209" s="500">
        <v>400</v>
      </c>
      <c r="E209" s="500">
        <f t="shared" si="30"/>
        <v>577.95</v>
      </c>
      <c r="F209" s="500">
        <v>38.53</v>
      </c>
      <c r="G209" s="495">
        <f t="shared" si="31"/>
        <v>288.4750285714286</v>
      </c>
      <c r="H209" s="495">
        <v>363.09999999999997</v>
      </c>
      <c r="I209" s="496">
        <v>310.6</v>
      </c>
      <c r="J209" s="496">
        <v>299</v>
      </c>
      <c r="K209" s="496">
        <f t="shared" si="32"/>
        <v>463.19047619047626</v>
      </c>
      <c r="L209" s="496">
        <f t="shared" si="27"/>
        <v>0.8014369343204019</v>
      </c>
      <c r="M209" s="501">
        <f>(400*0.85-G209)*0.352</f>
        <v>18.136789942857135</v>
      </c>
      <c r="N209" s="502">
        <f t="shared" si="28"/>
        <v>21.3373999327731</v>
      </c>
    </row>
    <row r="210" spans="1:14" s="30" customFormat="1" ht="15">
      <c r="A210" s="493">
        <f t="shared" si="29"/>
        <v>10</v>
      </c>
      <c r="B210" s="498" t="s">
        <v>916</v>
      </c>
      <c r="C210" s="500" t="s">
        <v>910</v>
      </c>
      <c r="D210" s="500">
        <v>400</v>
      </c>
      <c r="E210" s="500">
        <f t="shared" si="30"/>
        <v>577.95</v>
      </c>
      <c r="F210" s="500">
        <v>38.53</v>
      </c>
      <c r="G210" s="495">
        <f t="shared" si="31"/>
        <v>165.33857142857144</v>
      </c>
      <c r="H210" s="495">
        <v>171.2</v>
      </c>
      <c r="I210" s="496">
        <v>191.00000000000003</v>
      </c>
      <c r="J210" s="496">
        <v>195.3</v>
      </c>
      <c r="K210" s="496">
        <f t="shared" si="32"/>
        <v>265.4761904761905</v>
      </c>
      <c r="L210" s="496">
        <f t="shared" si="27"/>
        <v>0.4593411029953983</v>
      </c>
      <c r="M210" s="501">
        <f>(400*0.85-G210-G211)*0.352</f>
        <v>25.75748937142856</v>
      </c>
      <c r="N210" s="502">
        <f t="shared" si="28"/>
        <v>30.302928672268894</v>
      </c>
    </row>
    <row r="211" spans="1:14" s="30" customFormat="1" ht="15">
      <c r="A211" s="493">
        <f t="shared" si="29"/>
        <v>11</v>
      </c>
      <c r="B211" s="498" t="s">
        <v>917</v>
      </c>
      <c r="C211" s="500" t="s">
        <v>918</v>
      </c>
      <c r="D211" s="500">
        <v>400</v>
      </c>
      <c r="E211" s="500">
        <f t="shared" si="30"/>
        <v>577.95</v>
      </c>
      <c r="F211" s="500">
        <v>38.53</v>
      </c>
      <c r="G211" s="495">
        <f t="shared" si="31"/>
        <v>101.48674285714287</v>
      </c>
      <c r="H211" s="495">
        <v>76.5</v>
      </c>
      <c r="I211" s="496">
        <v>115.4</v>
      </c>
      <c r="J211" s="496">
        <v>150.3</v>
      </c>
      <c r="K211" s="496">
        <f t="shared" si="32"/>
        <v>162.95238095238096</v>
      </c>
      <c r="L211" s="496">
        <f t="shared" si="27"/>
        <v>0.2819489245650678</v>
      </c>
      <c r="M211" s="501">
        <f>(400*0.85-G211-G210)*0.352</f>
        <v>25.75748937142856</v>
      </c>
      <c r="N211" s="502">
        <f t="shared" si="28"/>
        <v>30.302928672268894</v>
      </c>
    </row>
    <row r="212" spans="1:14" s="30" customFormat="1" ht="15">
      <c r="A212" s="493">
        <f t="shared" si="29"/>
        <v>12</v>
      </c>
      <c r="B212" s="498" t="s">
        <v>919</v>
      </c>
      <c r="C212" s="500" t="s">
        <v>913</v>
      </c>
      <c r="D212" s="500">
        <v>400</v>
      </c>
      <c r="E212" s="500">
        <f t="shared" si="30"/>
        <v>577.95</v>
      </c>
      <c r="F212" s="500">
        <v>38.53</v>
      </c>
      <c r="G212" s="495">
        <f t="shared" si="31"/>
        <v>123.13645714285714</v>
      </c>
      <c r="H212" s="495">
        <v>158.4</v>
      </c>
      <c r="I212" s="496">
        <v>163.5</v>
      </c>
      <c r="J212" s="496">
        <v>93.30000000000001</v>
      </c>
      <c r="K212" s="496">
        <f t="shared" si="32"/>
        <v>197.71428571428572</v>
      </c>
      <c r="L212" s="496">
        <f t="shared" si="27"/>
        <v>0.3420958313250034</v>
      </c>
      <c r="M212" s="501">
        <f>(400*0.85-G212-G213)*0.352</f>
        <v>6.183775085714294</v>
      </c>
      <c r="N212" s="502">
        <f t="shared" si="28"/>
        <v>7.275029512605052</v>
      </c>
    </row>
    <row r="213" spans="1:14" s="30" customFormat="1" ht="15">
      <c r="A213" s="493">
        <f t="shared" si="29"/>
        <v>13</v>
      </c>
      <c r="B213" s="498" t="s">
        <v>920</v>
      </c>
      <c r="C213" s="500" t="s">
        <v>921</v>
      </c>
      <c r="D213" s="500">
        <v>400</v>
      </c>
      <c r="E213" s="500">
        <f t="shared" si="30"/>
        <v>577.95</v>
      </c>
      <c r="F213" s="500">
        <v>38.53</v>
      </c>
      <c r="G213" s="495">
        <f t="shared" si="31"/>
        <v>199.296</v>
      </c>
      <c r="H213" s="495">
        <v>219.8</v>
      </c>
      <c r="I213" s="496">
        <v>165.8</v>
      </c>
      <c r="J213" s="496">
        <v>286.4</v>
      </c>
      <c r="K213" s="496">
        <f t="shared" si="32"/>
        <v>320</v>
      </c>
      <c r="L213" s="496">
        <f t="shared" si="27"/>
        <v>0.5536811142832424</v>
      </c>
      <c r="M213" s="501">
        <f>(400*0.85-G213-G212)*0.352</f>
        <v>6.18377508571429</v>
      </c>
      <c r="N213" s="502">
        <f t="shared" si="28"/>
        <v>7.275029512605047</v>
      </c>
    </row>
    <row r="214" spans="1:14" s="30" customFormat="1" ht="15">
      <c r="A214" s="493">
        <f t="shared" si="29"/>
        <v>14</v>
      </c>
      <c r="B214" s="498" t="s">
        <v>922</v>
      </c>
      <c r="C214" s="500" t="s">
        <v>923</v>
      </c>
      <c r="D214" s="500">
        <v>320</v>
      </c>
      <c r="E214" s="500">
        <f t="shared" si="30"/>
        <v>462.3</v>
      </c>
      <c r="F214" s="500">
        <v>30.82</v>
      </c>
      <c r="G214" s="495">
        <f t="shared" si="31"/>
        <v>172.90114285714287</v>
      </c>
      <c r="H214" s="495">
        <v>229.4</v>
      </c>
      <c r="I214" s="496">
        <v>186.60000000000002</v>
      </c>
      <c r="J214" s="496">
        <v>167</v>
      </c>
      <c r="K214" s="496">
        <f t="shared" si="32"/>
        <v>277.61904761904765</v>
      </c>
      <c r="L214" s="499">
        <f t="shared" si="27"/>
        <v>0.6005170833204578</v>
      </c>
      <c r="M214" s="501">
        <f>(320*0.85-G214-G215)*0.352</f>
        <v>-6.592597942857157</v>
      </c>
      <c r="N214" s="502">
        <f t="shared" si="28"/>
        <v>-7.75599757983195</v>
      </c>
    </row>
    <row r="215" spans="1:14" s="30" customFormat="1" ht="15">
      <c r="A215" s="493">
        <f t="shared" si="29"/>
        <v>15</v>
      </c>
      <c r="B215" s="498" t="s">
        <v>924</v>
      </c>
      <c r="C215" s="500" t="s">
        <v>923</v>
      </c>
      <c r="D215" s="500">
        <v>320</v>
      </c>
      <c r="E215" s="500">
        <f t="shared" si="30"/>
        <v>462.3</v>
      </c>
      <c r="F215" s="500">
        <v>30.82</v>
      </c>
      <c r="G215" s="495">
        <f t="shared" si="31"/>
        <v>117.8278285714286</v>
      </c>
      <c r="H215" s="495">
        <v>161</v>
      </c>
      <c r="I215" s="496">
        <v>132.5</v>
      </c>
      <c r="J215" s="496">
        <v>103.8</v>
      </c>
      <c r="K215" s="496">
        <f t="shared" si="32"/>
        <v>189.1904761904762</v>
      </c>
      <c r="L215" s="499">
        <f t="shared" si="27"/>
        <v>0.4092374566092931</v>
      </c>
      <c r="M215" s="501">
        <f>(320*0.85-G215-G214)*0.352</f>
        <v>-6.592597942857157</v>
      </c>
      <c r="N215" s="502">
        <f t="shared" si="28"/>
        <v>-7.75599757983195</v>
      </c>
    </row>
    <row r="216" spans="1:14" s="30" customFormat="1" ht="15">
      <c r="A216" s="493">
        <f t="shared" si="29"/>
        <v>16</v>
      </c>
      <c r="B216" s="498" t="s">
        <v>925</v>
      </c>
      <c r="C216" s="500" t="s">
        <v>926</v>
      </c>
      <c r="D216" s="500">
        <v>630</v>
      </c>
      <c r="E216" s="500">
        <v>910.5</v>
      </c>
      <c r="F216" s="500">
        <v>60.7</v>
      </c>
      <c r="G216" s="495">
        <f t="shared" si="31"/>
        <v>84.01868571428571</v>
      </c>
      <c r="H216" s="495">
        <v>88</v>
      </c>
      <c r="I216" s="496">
        <v>108.7</v>
      </c>
      <c r="J216" s="496">
        <v>86.6</v>
      </c>
      <c r="K216" s="496">
        <f t="shared" si="32"/>
        <v>134.9047619047619</v>
      </c>
      <c r="L216" s="505">
        <f t="shared" si="27"/>
        <v>0.14816558144399988</v>
      </c>
      <c r="M216" s="501">
        <f>(630*0.85-G216)*0.352</f>
        <v>158.92142262857143</v>
      </c>
      <c r="N216" s="502">
        <f t="shared" si="28"/>
        <v>186.9663795630252</v>
      </c>
    </row>
    <row r="217" spans="1:14" s="30" customFormat="1" ht="15">
      <c r="A217" s="493">
        <f t="shared" si="29"/>
        <v>17</v>
      </c>
      <c r="B217" s="498" t="s">
        <v>927</v>
      </c>
      <c r="C217" s="500" t="s">
        <v>910</v>
      </c>
      <c r="D217" s="500">
        <v>400</v>
      </c>
      <c r="E217" s="500">
        <f aca="true" t="shared" si="33" ref="E217:E265">F217*15</f>
        <v>577.95</v>
      </c>
      <c r="F217" s="500">
        <v>38.53</v>
      </c>
      <c r="G217" s="495">
        <f t="shared" si="31"/>
        <v>208.60834285714287</v>
      </c>
      <c r="H217" s="495">
        <v>241.20000000000002</v>
      </c>
      <c r="I217" s="496">
        <v>270.90000000000003</v>
      </c>
      <c r="J217" s="496">
        <v>191.29999999999998</v>
      </c>
      <c r="K217" s="496">
        <f t="shared" si="32"/>
        <v>334.95238095238096</v>
      </c>
      <c r="L217" s="496">
        <f t="shared" si="27"/>
        <v>0.5795525234923107</v>
      </c>
      <c r="M217" s="501">
        <f>(400*0.85-G217-G218)*0.352</f>
        <v>-2.5852489142857173</v>
      </c>
      <c r="N217" s="502">
        <f t="shared" si="28"/>
        <v>-3.0414693109243736</v>
      </c>
    </row>
    <row r="218" spans="1:14" s="30" customFormat="1" ht="15">
      <c r="A218" s="493">
        <f t="shared" si="29"/>
        <v>18</v>
      </c>
      <c r="B218" s="498" t="s">
        <v>928</v>
      </c>
      <c r="C218" s="500" t="s">
        <v>910</v>
      </c>
      <c r="D218" s="500">
        <v>400</v>
      </c>
      <c r="E218" s="500">
        <f t="shared" si="33"/>
        <v>577.95</v>
      </c>
      <c r="F218" s="500">
        <v>38.53</v>
      </c>
      <c r="G218" s="495">
        <f t="shared" si="31"/>
        <v>138.73611428571428</v>
      </c>
      <c r="H218" s="495">
        <v>169.5</v>
      </c>
      <c r="I218" s="496">
        <v>143.8</v>
      </c>
      <c r="J218" s="496">
        <v>154.5</v>
      </c>
      <c r="K218" s="496">
        <f t="shared" si="32"/>
        <v>222.76190476190476</v>
      </c>
      <c r="L218" s="496">
        <f t="shared" si="27"/>
        <v>0.3854345614013405</v>
      </c>
      <c r="M218" s="501">
        <f>(400*0.85-G218-G217)*0.352</f>
        <v>-2.5852489142857173</v>
      </c>
      <c r="N218" s="502">
        <f t="shared" si="28"/>
        <v>-3.0414693109243736</v>
      </c>
    </row>
    <row r="219" spans="1:14" s="30" customFormat="1" ht="15">
      <c r="A219" s="493">
        <f t="shared" si="29"/>
        <v>19</v>
      </c>
      <c r="B219" s="498" t="s">
        <v>846</v>
      </c>
      <c r="C219" s="500" t="s">
        <v>929</v>
      </c>
      <c r="D219" s="500">
        <v>400</v>
      </c>
      <c r="E219" s="500">
        <v>577.95</v>
      </c>
      <c r="F219" s="500">
        <v>38.53</v>
      </c>
      <c r="G219" s="495">
        <f t="shared" si="31"/>
        <v>20.404114285714286</v>
      </c>
      <c r="H219" s="495">
        <v>27.4</v>
      </c>
      <c r="I219" s="496">
        <v>26.199999999999996</v>
      </c>
      <c r="J219" s="496">
        <v>15.2</v>
      </c>
      <c r="K219" s="496">
        <f t="shared" si="32"/>
        <v>32.76190476190476</v>
      </c>
      <c r="L219" s="496">
        <f t="shared" si="27"/>
        <v>0.056686399795665296</v>
      </c>
      <c r="M219" s="501">
        <f>(400*0.85-G219-G220)*0.352</f>
        <v>69.60260937142857</v>
      </c>
      <c r="N219" s="502">
        <f t="shared" si="28"/>
        <v>81.88542278991596</v>
      </c>
    </row>
    <row r="220" spans="1:14" s="30" customFormat="1" ht="15">
      <c r="A220" s="493">
        <f t="shared" si="29"/>
        <v>20</v>
      </c>
      <c r="B220" s="498" t="s">
        <v>847</v>
      </c>
      <c r="C220" s="500" t="s">
        <v>913</v>
      </c>
      <c r="D220" s="500">
        <v>400</v>
      </c>
      <c r="E220" s="500">
        <f t="shared" si="33"/>
        <v>577.95</v>
      </c>
      <c r="F220" s="500">
        <v>38.53</v>
      </c>
      <c r="G220" s="495">
        <f t="shared" si="31"/>
        <v>121.86120000000001</v>
      </c>
      <c r="H220" s="495">
        <v>135</v>
      </c>
      <c r="I220" s="496">
        <v>132.4</v>
      </c>
      <c r="J220" s="496">
        <v>143.5</v>
      </c>
      <c r="K220" s="496">
        <f t="shared" si="32"/>
        <v>195.66666666666666</v>
      </c>
      <c r="L220" s="496">
        <f t="shared" si="27"/>
        <v>0.33855293133777425</v>
      </c>
      <c r="M220" s="501">
        <f>(400*0.85-G220-G219)*0.352</f>
        <v>69.60260937142857</v>
      </c>
      <c r="N220" s="502">
        <f t="shared" si="28"/>
        <v>81.88542278991596</v>
      </c>
    </row>
    <row r="221" spans="1:14" ht="15">
      <c r="A221" s="493">
        <f t="shared" si="29"/>
        <v>21</v>
      </c>
      <c r="B221" s="498" t="s">
        <v>930</v>
      </c>
      <c r="C221" s="500" t="s">
        <v>910</v>
      </c>
      <c r="D221" s="500">
        <v>400</v>
      </c>
      <c r="E221" s="500">
        <f t="shared" si="33"/>
        <v>577.95</v>
      </c>
      <c r="F221" s="500">
        <v>38.53</v>
      </c>
      <c r="G221" s="495">
        <f t="shared" si="31"/>
        <v>104.77868571428571</v>
      </c>
      <c r="H221" s="495">
        <v>104.10000000000001</v>
      </c>
      <c r="I221" s="496">
        <v>128.6</v>
      </c>
      <c r="J221" s="496">
        <v>120.60000000000001</v>
      </c>
      <c r="K221" s="496">
        <f t="shared" si="32"/>
        <v>168.23809523809524</v>
      </c>
      <c r="L221" s="496">
        <f t="shared" si="27"/>
        <v>0.2910945501134964</v>
      </c>
      <c r="M221" s="501">
        <f>(400*0.85-G221-G222)*0.352</f>
        <v>23.993245257142867</v>
      </c>
      <c r="N221" s="502">
        <f t="shared" si="28"/>
        <v>28.22734736134455</v>
      </c>
    </row>
    <row r="222" spans="1:14" ht="15">
      <c r="A222" s="493">
        <f t="shared" si="29"/>
        <v>22</v>
      </c>
      <c r="B222" s="498" t="s">
        <v>931</v>
      </c>
      <c r="C222" s="500" t="s">
        <v>910</v>
      </c>
      <c r="D222" s="500">
        <v>400</v>
      </c>
      <c r="E222" s="500">
        <f t="shared" si="33"/>
        <v>577.95</v>
      </c>
      <c r="F222" s="500">
        <v>38.53</v>
      </c>
      <c r="G222" s="495">
        <f t="shared" si="31"/>
        <v>167.0586857142857</v>
      </c>
      <c r="H222" s="495">
        <v>224.9</v>
      </c>
      <c r="I222" s="496">
        <v>175.10000000000002</v>
      </c>
      <c r="J222" s="496">
        <v>163.3</v>
      </c>
      <c r="K222" s="496">
        <f t="shared" si="32"/>
        <v>268.23809523809524</v>
      </c>
      <c r="L222" s="496">
        <f t="shared" si="27"/>
        <v>0.4641198983270096</v>
      </c>
      <c r="M222" s="501">
        <f>(400*0.85-G222-G221)*0.352</f>
        <v>23.99324525714286</v>
      </c>
      <c r="N222" s="502">
        <f t="shared" si="28"/>
        <v>28.227347361344542</v>
      </c>
    </row>
    <row r="223" spans="1:14" ht="15">
      <c r="A223" s="493">
        <f t="shared" si="29"/>
        <v>23</v>
      </c>
      <c r="B223" s="498" t="s">
        <v>932</v>
      </c>
      <c r="C223" s="500" t="s">
        <v>913</v>
      </c>
      <c r="D223" s="500">
        <v>400</v>
      </c>
      <c r="E223" s="500">
        <f t="shared" si="33"/>
        <v>577.95</v>
      </c>
      <c r="F223" s="500">
        <v>38.53</v>
      </c>
      <c r="G223" s="495">
        <f t="shared" si="31"/>
        <v>102.67302857142855</v>
      </c>
      <c r="H223" s="495">
        <v>158.2</v>
      </c>
      <c r="I223" s="496">
        <v>112.1</v>
      </c>
      <c r="J223" s="496">
        <v>75.9</v>
      </c>
      <c r="K223" s="496">
        <f t="shared" si="32"/>
        <v>164.85714285714283</v>
      </c>
      <c r="L223" s="496">
        <f t="shared" si="27"/>
        <v>0.2852446454834204</v>
      </c>
      <c r="M223" s="501">
        <f>(400*0.85-G223)*0.352</f>
        <v>83.53909394285715</v>
      </c>
      <c r="N223" s="502">
        <f t="shared" si="28"/>
        <v>98.28128699159664</v>
      </c>
    </row>
    <row r="224" spans="1:14" ht="15">
      <c r="A224" s="493">
        <f t="shared" si="29"/>
        <v>24</v>
      </c>
      <c r="B224" s="498" t="s">
        <v>933</v>
      </c>
      <c r="C224" s="500" t="s">
        <v>913</v>
      </c>
      <c r="D224" s="500">
        <v>400</v>
      </c>
      <c r="E224" s="500">
        <f t="shared" si="33"/>
        <v>577.95</v>
      </c>
      <c r="F224" s="500">
        <v>38.53</v>
      </c>
      <c r="G224" s="495">
        <f t="shared" si="31"/>
        <v>141.25697142857143</v>
      </c>
      <c r="H224" s="495">
        <v>168.6</v>
      </c>
      <c r="I224" s="496">
        <v>86.6</v>
      </c>
      <c r="J224" s="496">
        <v>221.1</v>
      </c>
      <c r="K224" s="496">
        <f t="shared" si="32"/>
        <v>226.8095238095238</v>
      </c>
      <c r="L224" s="496">
        <f t="shared" si="27"/>
        <v>0.39243796835283984</v>
      </c>
      <c r="M224" s="501">
        <f>(400*0.85-G224-G225)*0.352</f>
        <v>59.518231771428574</v>
      </c>
      <c r="N224" s="502">
        <f t="shared" si="28"/>
        <v>70.02144914285715</v>
      </c>
    </row>
    <row r="225" spans="1:14" ht="15">
      <c r="A225" s="493">
        <f t="shared" si="29"/>
        <v>25</v>
      </c>
      <c r="B225" s="498" t="s">
        <v>934</v>
      </c>
      <c r="C225" s="500" t="s">
        <v>910</v>
      </c>
      <c r="D225" s="500">
        <v>400</v>
      </c>
      <c r="E225" s="500">
        <f t="shared" si="33"/>
        <v>577.95</v>
      </c>
      <c r="F225" s="500">
        <v>38.53</v>
      </c>
      <c r="G225" s="495">
        <f t="shared" si="31"/>
        <v>29.65714285714286</v>
      </c>
      <c r="H225" s="495">
        <v>39.9</v>
      </c>
      <c r="I225" s="496">
        <v>22.1</v>
      </c>
      <c r="J225" s="496">
        <v>38</v>
      </c>
      <c r="K225" s="496">
        <f t="shared" si="32"/>
        <v>47.61904761904762</v>
      </c>
      <c r="L225" s="496">
        <f t="shared" si="27"/>
        <v>0.08239302295881584</v>
      </c>
      <c r="M225" s="501">
        <f>(400*0.85-G225-G224)*0.352</f>
        <v>59.518231771428574</v>
      </c>
      <c r="N225" s="502">
        <f t="shared" si="28"/>
        <v>70.02144914285715</v>
      </c>
    </row>
    <row r="226" spans="1:14" ht="15">
      <c r="A226" s="493">
        <f t="shared" si="29"/>
        <v>26</v>
      </c>
      <c r="B226" s="498" t="s">
        <v>935</v>
      </c>
      <c r="C226" s="500" t="s">
        <v>910</v>
      </c>
      <c r="D226" s="500">
        <v>400</v>
      </c>
      <c r="E226" s="500">
        <f t="shared" si="33"/>
        <v>577.95</v>
      </c>
      <c r="F226" s="500">
        <v>38.53</v>
      </c>
      <c r="G226" s="495">
        <f t="shared" si="31"/>
        <v>79.18457142857143</v>
      </c>
      <c r="H226" s="495">
        <v>96</v>
      </c>
      <c r="I226" s="496">
        <v>67</v>
      </c>
      <c r="J226" s="496">
        <v>104</v>
      </c>
      <c r="K226" s="496">
        <f t="shared" si="32"/>
        <v>127.14285714285714</v>
      </c>
      <c r="L226" s="496">
        <f t="shared" si="27"/>
        <v>0.2199893713000383</v>
      </c>
      <c r="M226" s="501">
        <f>(400*0.85-G226-G227)*0.352</f>
        <v>69.46689828571428</v>
      </c>
      <c r="N226" s="502">
        <f t="shared" si="28"/>
        <v>81.72576268907562</v>
      </c>
    </row>
    <row r="227" spans="1:14" ht="15">
      <c r="A227" s="493">
        <f t="shared" si="29"/>
        <v>27</v>
      </c>
      <c r="B227" s="498" t="s">
        <v>936</v>
      </c>
      <c r="C227" s="500" t="s">
        <v>910</v>
      </c>
      <c r="D227" s="500">
        <v>400</v>
      </c>
      <c r="E227" s="500">
        <f t="shared" si="33"/>
        <v>577.95</v>
      </c>
      <c r="F227" s="500">
        <v>38.53</v>
      </c>
      <c r="G227" s="495">
        <f t="shared" si="31"/>
        <v>63.46628571428572</v>
      </c>
      <c r="H227" s="495">
        <v>83</v>
      </c>
      <c r="I227" s="496">
        <v>84</v>
      </c>
      <c r="J227" s="496">
        <v>47</v>
      </c>
      <c r="K227" s="496">
        <f t="shared" si="32"/>
        <v>101.9047619047619</v>
      </c>
      <c r="L227" s="496">
        <f t="shared" si="27"/>
        <v>0.17632106913186588</v>
      </c>
      <c r="M227" s="501">
        <f>(400*0.85-G227-G226)*0.352</f>
        <v>69.46689828571428</v>
      </c>
      <c r="N227" s="502">
        <f t="shared" si="28"/>
        <v>81.72576268907562</v>
      </c>
    </row>
    <row r="228" spans="1:14" ht="15">
      <c r="A228" s="493">
        <f t="shared" si="29"/>
        <v>28</v>
      </c>
      <c r="B228" s="498" t="s">
        <v>937</v>
      </c>
      <c r="C228" s="500" t="s">
        <v>938</v>
      </c>
      <c r="D228" s="500">
        <v>400</v>
      </c>
      <c r="E228" s="500">
        <f t="shared" si="33"/>
        <v>577.95</v>
      </c>
      <c r="F228" s="500">
        <v>38.53</v>
      </c>
      <c r="G228" s="495">
        <f t="shared" si="31"/>
        <v>78.08725714285714</v>
      </c>
      <c r="H228" s="495">
        <v>122.4</v>
      </c>
      <c r="I228" s="496">
        <v>76.3</v>
      </c>
      <c r="J228" s="496">
        <v>64.60000000000001</v>
      </c>
      <c r="K228" s="496">
        <f t="shared" si="32"/>
        <v>125.38095238095238</v>
      </c>
      <c r="L228" s="496">
        <f t="shared" si="27"/>
        <v>0.21694082945056212</v>
      </c>
      <c r="M228" s="501">
        <f>(400*0.85-G228)*0.352</f>
        <v>92.19328548571428</v>
      </c>
      <c r="N228" s="502">
        <f t="shared" si="28"/>
        <v>108.4626888067227</v>
      </c>
    </row>
    <row r="229" spans="1:14" ht="15">
      <c r="A229" s="493">
        <f t="shared" si="29"/>
        <v>29</v>
      </c>
      <c r="B229" s="498" t="s">
        <v>939</v>
      </c>
      <c r="C229" s="500" t="s">
        <v>910</v>
      </c>
      <c r="D229" s="500">
        <v>400</v>
      </c>
      <c r="E229" s="500">
        <f t="shared" si="33"/>
        <v>577.95</v>
      </c>
      <c r="F229" s="500">
        <v>38.53</v>
      </c>
      <c r="G229" s="495">
        <f t="shared" si="31"/>
        <v>152.34874285714287</v>
      </c>
      <c r="H229" s="495">
        <v>157.89999999999998</v>
      </c>
      <c r="I229" s="496">
        <v>153.1</v>
      </c>
      <c r="J229" s="496">
        <v>202.7</v>
      </c>
      <c r="K229" s="496">
        <f t="shared" si="32"/>
        <v>244.61904761904765</v>
      </c>
      <c r="L229" s="496">
        <f t="shared" si="27"/>
        <v>0.42325295893943704</v>
      </c>
      <c r="M229" s="501">
        <f>(400*0.85-G229-G230)*0.352</f>
        <v>51.2920521142857</v>
      </c>
      <c r="N229" s="502">
        <f t="shared" si="28"/>
        <v>60.343590722689065</v>
      </c>
    </row>
    <row r="230" spans="1:14" ht="15">
      <c r="A230" s="493">
        <f t="shared" si="29"/>
        <v>30</v>
      </c>
      <c r="B230" s="498" t="s">
        <v>940</v>
      </c>
      <c r="C230" s="500" t="s">
        <v>910</v>
      </c>
      <c r="D230" s="500">
        <v>400</v>
      </c>
      <c r="E230" s="500">
        <f t="shared" si="33"/>
        <v>577.95</v>
      </c>
      <c r="F230" s="500">
        <v>38.53</v>
      </c>
      <c r="G230" s="495">
        <f t="shared" si="31"/>
        <v>41.9352</v>
      </c>
      <c r="H230" s="495">
        <v>43.9</v>
      </c>
      <c r="I230" s="496">
        <v>45.900000000000006</v>
      </c>
      <c r="J230" s="496">
        <v>51.599999999999994</v>
      </c>
      <c r="K230" s="496">
        <f t="shared" si="32"/>
        <v>67.33333333333333</v>
      </c>
      <c r="L230" s="496">
        <f t="shared" si="27"/>
        <v>0.11650373446376559</v>
      </c>
      <c r="M230" s="501">
        <f>(400*0.85-G230-G229)*0.352</f>
        <v>51.2920521142857</v>
      </c>
      <c r="N230" s="502">
        <f t="shared" si="28"/>
        <v>60.343590722689065</v>
      </c>
    </row>
    <row r="231" spans="1:14" ht="15">
      <c r="A231" s="493">
        <f t="shared" si="29"/>
        <v>31</v>
      </c>
      <c r="B231" s="498" t="s">
        <v>941</v>
      </c>
      <c r="C231" s="500" t="s">
        <v>908</v>
      </c>
      <c r="D231" s="500">
        <v>630</v>
      </c>
      <c r="E231" s="500">
        <f t="shared" si="33"/>
        <v>910.5</v>
      </c>
      <c r="F231" s="500">
        <v>60.7</v>
      </c>
      <c r="G231" s="495">
        <f t="shared" si="31"/>
        <v>74.43942857142858</v>
      </c>
      <c r="H231" s="495">
        <v>107</v>
      </c>
      <c r="I231" s="496">
        <v>71</v>
      </c>
      <c r="J231" s="496">
        <v>73</v>
      </c>
      <c r="K231" s="496">
        <f t="shared" si="32"/>
        <v>119.52380952380952</v>
      </c>
      <c r="L231" s="496">
        <f t="shared" si="27"/>
        <v>0.13127271776365682</v>
      </c>
      <c r="M231" s="501">
        <f>(630*0.85-G231-G232)*0.352</f>
        <v>117.61305599999997</v>
      </c>
      <c r="N231" s="502">
        <f t="shared" si="28"/>
        <v>138.36830117647057</v>
      </c>
    </row>
    <row r="232" spans="1:14" ht="15">
      <c r="A232" s="493">
        <f t="shared" si="29"/>
        <v>32</v>
      </c>
      <c r="B232" s="498" t="s">
        <v>942</v>
      </c>
      <c r="C232" s="500" t="s">
        <v>908</v>
      </c>
      <c r="D232" s="500">
        <v>630</v>
      </c>
      <c r="E232" s="500">
        <f t="shared" si="33"/>
        <v>910.5</v>
      </c>
      <c r="F232" s="500">
        <v>60.7</v>
      </c>
      <c r="G232" s="495">
        <f t="shared" si="31"/>
        <v>126.93257142857144</v>
      </c>
      <c r="H232" s="495">
        <v>103</v>
      </c>
      <c r="I232" s="496">
        <v>176</v>
      </c>
      <c r="J232" s="496">
        <v>149</v>
      </c>
      <c r="K232" s="496">
        <f t="shared" si="32"/>
        <v>203.8095238095238</v>
      </c>
      <c r="L232" s="496">
        <f t="shared" si="27"/>
        <v>0.2238435187364347</v>
      </c>
      <c r="M232" s="501">
        <f>(630*0.85-G232-G231)*0.352</f>
        <v>117.61305599999997</v>
      </c>
      <c r="N232" s="502">
        <f t="shared" si="28"/>
        <v>138.36830117647057</v>
      </c>
    </row>
    <row r="233" spans="1:14" ht="15">
      <c r="A233" s="493">
        <f t="shared" si="29"/>
        <v>33</v>
      </c>
      <c r="B233" s="498" t="s">
        <v>943</v>
      </c>
      <c r="C233" s="500" t="s">
        <v>913</v>
      </c>
      <c r="D233" s="500">
        <v>400</v>
      </c>
      <c r="E233" s="500">
        <f t="shared" si="33"/>
        <v>577.95</v>
      </c>
      <c r="F233" s="500">
        <v>38.53</v>
      </c>
      <c r="G233" s="495">
        <f t="shared" si="31"/>
        <v>36.77485714285715</v>
      </c>
      <c r="H233" s="495">
        <v>38</v>
      </c>
      <c r="I233" s="496">
        <v>41</v>
      </c>
      <c r="J233" s="496">
        <v>45</v>
      </c>
      <c r="K233" s="496">
        <f t="shared" si="32"/>
        <v>59.04761904761905</v>
      </c>
      <c r="L233" s="496">
        <f t="shared" si="27"/>
        <v>0.10216734846893165</v>
      </c>
      <c r="M233" s="501">
        <f>(400*0.85-G233-G234)*0.352</f>
        <v>69.15371885714283</v>
      </c>
      <c r="N233" s="502">
        <f t="shared" si="28"/>
        <v>81.35731630252099</v>
      </c>
    </row>
    <row r="234" spans="1:14" ht="15">
      <c r="A234" s="493">
        <f t="shared" si="29"/>
        <v>34</v>
      </c>
      <c r="B234" s="498" t="s">
        <v>944</v>
      </c>
      <c r="C234" s="500" t="s">
        <v>945</v>
      </c>
      <c r="D234" s="500">
        <v>400</v>
      </c>
      <c r="E234" s="500">
        <f t="shared" si="33"/>
        <v>577.95</v>
      </c>
      <c r="F234" s="500">
        <v>38.53</v>
      </c>
      <c r="G234" s="495">
        <f t="shared" si="31"/>
        <v>106.7657142857143</v>
      </c>
      <c r="H234" s="495">
        <v>118</v>
      </c>
      <c r="I234" s="496">
        <v>120</v>
      </c>
      <c r="J234" s="496">
        <v>122</v>
      </c>
      <c r="K234" s="496">
        <f t="shared" si="32"/>
        <v>171.42857142857142</v>
      </c>
      <c r="L234" s="496">
        <f t="shared" si="27"/>
        <v>0.296614882651737</v>
      </c>
      <c r="M234" s="501">
        <f>(400*0.85-G234-G233)*0.352</f>
        <v>69.15371885714285</v>
      </c>
      <c r="N234" s="502">
        <f t="shared" si="28"/>
        <v>81.357316302521</v>
      </c>
    </row>
    <row r="235" spans="1:14" ht="15">
      <c r="A235" s="493">
        <f t="shared" si="29"/>
        <v>35</v>
      </c>
      <c r="B235" s="498" t="s">
        <v>946</v>
      </c>
      <c r="C235" s="500" t="s">
        <v>947</v>
      </c>
      <c r="D235" s="500">
        <v>400</v>
      </c>
      <c r="E235" s="500">
        <f t="shared" si="33"/>
        <v>577.95</v>
      </c>
      <c r="F235" s="500">
        <v>38.53</v>
      </c>
      <c r="G235" s="495">
        <f t="shared" si="31"/>
        <v>100.92325714285712</v>
      </c>
      <c r="H235" s="495">
        <v>110.9</v>
      </c>
      <c r="I235" s="496">
        <v>118.10000000000001</v>
      </c>
      <c r="J235" s="496">
        <v>111.29999999999998</v>
      </c>
      <c r="K235" s="496">
        <f t="shared" si="32"/>
        <v>162.04761904761904</v>
      </c>
      <c r="L235" s="496">
        <f t="shared" si="27"/>
        <v>0.28038345712885027</v>
      </c>
      <c r="M235" s="501">
        <f>(400*0.85-G235-G236)*0.352</f>
        <v>38.68136045714285</v>
      </c>
      <c r="N235" s="502">
        <f t="shared" si="28"/>
        <v>45.5074828907563</v>
      </c>
    </row>
    <row r="236" spans="1:14" ht="15">
      <c r="A236" s="493">
        <f t="shared" si="29"/>
        <v>36</v>
      </c>
      <c r="B236" s="498" t="s">
        <v>948</v>
      </c>
      <c r="C236" s="500" t="s">
        <v>949</v>
      </c>
      <c r="D236" s="500">
        <v>630</v>
      </c>
      <c r="E236" s="500">
        <f t="shared" si="33"/>
        <v>910.5</v>
      </c>
      <c r="F236" s="500">
        <v>60.7</v>
      </c>
      <c r="G236" s="495">
        <f t="shared" si="31"/>
        <v>129.1865142857143</v>
      </c>
      <c r="H236" s="495">
        <v>142.60000000000002</v>
      </c>
      <c r="I236" s="496">
        <v>157.8</v>
      </c>
      <c r="J236" s="496">
        <v>135.2</v>
      </c>
      <c r="K236" s="496">
        <f t="shared" si="32"/>
        <v>207.42857142857144</v>
      </c>
      <c r="L236" s="496">
        <f t="shared" si="27"/>
        <v>0.22781831019063312</v>
      </c>
      <c r="M236" s="501">
        <f>(630*0.85-G236-G235)*0.352</f>
        <v>107.49736045714285</v>
      </c>
      <c r="N236" s="502">
        <f t="shared" si="28"/>
        <v>126.46748289075629</v>
      </c>
    </row>
    <row r="237" spans="1:14" ht="15">
      <c r="A237" s="493">
        <f t="shared" si="29"/>
        <v>37</v>
      </c>
      <c r="B237" s="498" t="s">
        <v>950</v>
      </c>
      <c r="C237" s="500" t="s">
        <v>951</v>
      </c>
      <c r="D237" s="500">
        <v>400</v>
      </c>
      <c r="E237" s="500">
        <f t="shared" si="33"/>
        <v>577.95</v>
      </c>
      <c r="F237" s="500">
        <v>38.53</v>
      </c>
      <c r="G237" s="495">
        <f t="shared" si="31"/>
        <v>117.73885714285714</v>
      </c>
      <c r="H237" s="495">
        <v>120</v>
      </c>
      <c r="I237" s="496">
        <v>167</v>
      </c>
      <c r="J237" s="496">
        <v>110</v>
      </c>
      <c r="K237" s="496">
        <f t="shared" si="32"/>
        <v>189.04761904761904</v>
      </c>
      <c r="L237" s="496">
        <f t="shared" si="27"/>
        <v>0.32710030114649885</v>
      </c>
      <c r="M237" s="501">
        <f>(400*0.85-G237-G238)*0.352</f>
        <v>41.07196342857142</v>
      </c>
      <c r="N237" s="502">
        <f t="shared" si="28"/>
        <v>48.31995697478991</v>
      </c>
    </row>
    <row r="238" spans="1:143" ht="15">
      <c r="A238" s="493">
        <f t="shared" si="29"/>
        <v>38</v>
      </c>
      <c r="B238" s="498" t="s">
        <v>952</v>
      </c>
      <c r="C238" s="500" t="s">
        <v>951</v>
      </c>
      <c r="D238" s="500">
        <v>400</v>
      </c>
      <c r="E238" s="500">
        <f t="shared" si="33"/>
        <v>577.95</v>
      </c>
      <c r="F238" s="500">
        <v>38.53</v>
      </c>
      <c r="G238" s="495">
        <f t="shared" si="31"/>
        <v>105.5794285714286</v>
      </c>
      <c r="H238" s="495">
        <v>146</v>
      </c>
      <c r="I238" s="496">
        <v>120</v>
      </c>
      <c r="J238" s="496">
        <v>90</v>
      </c>
      <c r="K238" s="496">
        <f t="shared" si="32"/>
        <v>169.52380952380952</v>
      </c>
      <c r="L238" s="496">
        <f t="shared" si="27"/>
        <v>0.2933191617333844</v>
      </c>
      <c r="M238" s="501">
        <f>(400*0.85-G238-G237)*0.352</f>
        <v>41.07196342857142</v>
      </c>
      <c r="N238" s="502">
        <f t="shared" si="28"/>
        <v>48.31995697478991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</row>
    <row r="239" spans="1:143" s="519" customFormat="1" ht="15">
      <c r="A239" s="493">
        <f t="shared" si="29"/>
        <v>39</v>
      </c>
      <c r="B239" s="498" t="s">
        <v>953</v>
      </c>
      <c r="C239" s="500" t="s">
        <v>938</v>
      </c>
      <c r="D239" s="500">
        <v>400</v>
      </c>
      <c r="E239" s="500">
        <f t="shared" si="33"/>
        <v>577.95</v>
      </c>
      <c r="F239" s="500">
        <v>38.53</v>
      </c>
      <c r="G239" s="495">
        <f t="shared" si="31"/>
        <v>258.31371428571424</v>
      </c>
      <c r="H239" s="495">
        <v>269</v>
      </c>
      <c r="I239" s="496">
        <v>273</v>
      </c>
      <c r="J239" s="496">
        <v>329</v>
      </c>
      <c r="K239" s="496">
        <f t="shared" si="32"/>
        <v>414.76190476190476</v>
      </c>
      <c r="L239" s="499">
        <f t="shared" si="27"/>
        <v>0.7176432299712859</v>
      </c>
      <c r="M239" s="501">
        <f>(400*0.85-G239-G240)*0.352</f>
        <v>-30.646125714285695</v>
      </c>
      <c r="N239" s="502">
        <f t="shared" si="28"/>
        <v>-36.05426554621847</v>
      </c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</row>
    <row r="240" spans="1:143" s="519" customFormat="1" ht="15">
      <c r="A240" s="493">
        <f t="shared" si="29"/>
        <v>40</v>
      </c>
      <c r="B240" s="498" t="s">
        <v>954</v>
      </c>
      <c r="C240" s="500" t="s">
        <v>955</v>
      </c>
      <c r="D240" s="500">
        <v>400</v>
      </c>
      <c r="E240" s="500">
        <f t="shared" si="33"/>
        <v>577.95</v>
      </c>
      <c r="F240" s="500">
        <v>38.53</v>
      </c>
      <c r="G240" s="495">
        <f t="shared" si="31"/>
        <v>168.74914285714286</v>
      </c>
      <c r="H240" s="495">
        <v>224</v>
      </c>
      <c r="I240" s="496">
        <v>192</v>
      </c>
      <c r="J240" s="496">
        <v>153</v>
      </c>
      <c r="K240" s="496">
        <f t="shared" si="32"/>
        <v>270.95238095238096</v>
      </c>
      <c r="L240" s="499">
        <f t="shared" si="27"/>
        <v>0.46881630063566215</v>
      </c>
      <c r="M240" s="501">
        <f>(400*0.85-G240-G239)*0.352</f>
        <v>-30.646125714285695</v>
      </c>
      <c r="N240" s="502">
        <f t="shared" si="28"/>
        <v>-36.05426554621847</v>
      </c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</row>
    <row r="241" spans="1:143" ht="15">
      <c r="A241" s="493">
        <f t="shared" si="29"/>
        <v>41</v>
      </c>
      <c r="B241" s="498" t="s">
        <v>956</v>
      </c>
      <c r="C241" s="500" t="s">
        <v>910</v>
      </c>
      <c r="D241" s="500">
        <v>400</v>
      </c>
      <c r="E241" s="500">
        <f t="shared" si="33"/>
        <v>577.95</v>
      </c>
      <c r="F241" s="500">
        <v>38.53</v>
      </c>
      <c r="G241" s="495">
        <f t="shared" si="31"/>
        <v>125.15314285714284</v>
      </c>
      <c r="H241" s="495">
        <v>138.6</v>
      </c>
      <c r="I241" s="496">
        <v>151.5</v>
      </c>
      <c r="J241" s="496">
        <v>131.9</v>
      </c>
      <c r="K241" s="496">
        <f t="shared" si="32"/>
        <v>200.95238095238096</v>
      </c>
      <c r="L241" s="496">
        <f t="shared" si="27"/>
        <v>0.3476985568862029</v>
      </c>
      <c r="M241" s="501">
        <f>(400*0.85-G241-G242)*0.352</f>
        <v>38.92146468571429</v>
      </c>
      <c r="N241" s="502">
        <f t="shared" si="28"/>
        <v>45.78995845378152</v>
      </c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</row>
    <row r="242" spans="1:14" ht="15">
      <c r="A242" s="493">
        <f t="shared" si="29"/>
        <v>42</v>
      </c>
      <c r="B242" s="498" t="s">
        <v>957</v>
      </c>
      <c r="C242" s="500" t="s">
        <v>913</v>
      </c>
      <c r="D242" s="500">
        <v>400</v>
      </c>
      <c r="E242" s="500">
        <f t="shared" si="33"/>
        <v>577.95</v>
      </c>
      <c r="F242" s="500">
        <v>38.53</v>
      </c>
      <c r="G242" s="495">
        <f t="shared" si="31"/>
        <v>104.27451428571429</v>
      </c>
      <c r="H242" s="495">
        <v>122.60000000000001</v>
      </c>
      <c r="I242" s="496">
        <v>88.5</v>
      </c>
      <c r="J242" s="496">
        <v>140.5</v>
      </c>
      <c r="K242" s="496">
        <f t="shared" si="32"/>
        <v>167.42857142857144</v>
      </c>
      <c r="L242" s="496">
        <f t="shared" si="27"/>
        <v>0.2896938687231965</v>
      </c>
      <c r="M242" s="501">
        <f>(400*0.85-G242-G241)*0.352</f>
        <v>38.921464685714284</v>
      </c>
      <c r="N242" s="502">
        <f t="shared" si="28"/>
        <v>45.78995845378151</v>
      </c>
    </row>
    <row r="243" spans="1:14" ht="15">
      <c r="A243" s="493">
        <f t="shared" si="29"/>
        <v>43</v>
      </c>
      <c r="B243" s="498" t="s">
        <v>958</v>
      </c>
      <c r="C243" s="500" t="s">
        <v>959</v>
      </c>
      <c r="D243" s="500">
        <v>1000</v>
      </c>
      <c r="E243" s="500">
        <f t="shared" si="33"/>
        <v>1446</v>
      </c>
      <c r="F243" s="500">
        <v>96.4</v>
      </c>
      <c r="G243" s="495">
        <f t="shared" si="31"/>
        <v>97.06782857142858</v>
      </c>
      <c r="H243" s="495">
        <v>116.7</v>
      </c>
      <c r="I243" s="496">
        <v>91.3</v>
      </c>
      <c r="J243" s="496">
        <v>119.3</v>
      </c>
      <c r="K243" s="496">
        <f t="shared" si="32"/>
        <v>155.85714285714286</v>
      </c>
      <c r="L243" s="496">
        <f t="shared" si="27"/>
        <v>0.10778502272278206</v>
      </c>
      <c r="M243" s="501">
        <f>(400*0.85-G243-G244)*0.352</f>
        <v>3.6887789714285715</v>
      </c>
      <c r="N243" s="502">
        <f t="shared" si="28"/>
        <v>4.339739966386555</v>
      </c>
    </row>
    <row r="244" spans="1:14" ht="15">
      <c r="A244" s="493">
        <f t="shared" si="29"/>
        <v>44</v>
      </c>
      <c r="B244" s="498" t="s">
        <v>960</v>
      </c>
      <c r="C244" s="500" t="s">
        <v>959</v>
      </c>
      <c r="D244" s="500">
        <v>1000</v>
      </c>
      <c r="E244" s="500">
        <f t="shared" si="33"/>
        <v>1446</v>
      </c>
      <c r="F244" s="500">
        <v>96.4</v>
      </c>
      <c r="G244" s="495">
        <f t="shared" si="31"/>
        <v>232.4526857142857</v>
      </c>
      <c r="H244" s="495">
        <v>253.20000000000002</v>
      </c>
      <c r="I244" s="496">
        <v>214.7</v>
      </c>
      <c r="J244" s="496">
        <v>315.9</v>
      </c>
      <c r="K244" s="496">
        <f t="shared" si="32"/>
        <v>373.23809523809524</v>
      </c>
      <c r="L244" s="496">
        <f t="shared" si="27"/>
        <v>0.258117631561615</v>
      </c>
      <c r="M244" s="501">
        <f>(400*0.85-G244-G243)*0.352</f>
        <v>3.6887789714285715</v>
      </c>
      <c r="N244" s="502">
        <f t="shared" si="28"/>
        <v>4.339739966386555</v>
      </c>
    </row>
    <row r="245" spans="1:14" ht="15">
      <c r="A245" s="493">
        <f t="shared" si="29"/>
        <v>45</v>
      </c>
      <c r="B245" s="498" t="s">
        <v>961</v>
      </c>
      <c r="C245" s="500" t="s">
        <v>910</v>
      </c>
      <c r="D245" s="500">
        <v>400</v>
      </c>
      <c r="E245" s="500">
        <f t="shared" si="33"/>
        <v>577.95</v>
      </c>
      <c r="F245" s="500">
        <v>38.53</v>
      </c>
      <c r="G245" s="495">
        <f t="shared" si="31"/>
        <v>124.64897142857141</v>
      </c>
      <c r="H245" s="495">
        <v>121.80000000000001</v>
      </c>
      <c r="I245" s="496">
        <v>124.89999999999999</v>
      </c>
      <c r="J245" s="496">
        <v>173.6</v>
      </c>
      <c r="K245" s="496">
        <f t="shared" si="32"/>
        <v>200.1428571428571</v>
      </c>
      <c r="L245" s="499">
        <f t="shared" si="27"/>
        <v>0.3462978754959029</v>
      </c>
      <c r="M245" s="501">
        <f>(400*0.85-G245-G246)*0.352</f>
        <v>1.0580717714285701</v>
      </c>
      <c r="N245" s="502">
        <f t="shared" si="28"/>
        <v>1.2447903193277297</v>
      </c>
    </row>
    <row r="246" spans="1:14" ht="15">
      <c r="A246" s="493">
        <f t="shared" si="29"/>
        <v>46</v>
      </c>
      <c r="B246" s="498" t="s">
        <v>962</v>
      </c>
      <c r="C246" s="500" t="s">
        <v>947</v>
      </c>
      <c r="D246" s="500">
        <v>400</v>
      </c>
      <c r="E246" s="500">
        <f t="shared" si="33"/>
        <v>577.95</v>
      </c>
      <c r="F246" s="500">
        <v>38.53</v>
      </c>
      <c r="G246" s="495">
        <f t="shared" si="31"/>
        <v>212.34514285714286</v>
      </c>
      <c r="H246" s="495">
        <v>234.5</v>
      </c>
      <c r="I246" s="496">
        <v>254.5</v>
      </c>
      <c r="J246" s="496">
        <v>227</v>
      </c>
      <c r="K246" s="496">
        <f t="shared" si="32"/>
        <v>340.95238095238096</v>
      </c>
      <c r="L246" s="499">
        <f t="shared" si="27"/>
        <v>0.5899340443851214</v>
      </c>
      <c r="M246" s="501">
        <f>(400*0.85-G246-G245)*0.352</f>
        <v>1.058071771428575</v>
      </c>
      <c r="N246" s="502">
        <f t="shared" si="28"/>
        <v>1.2447903193277354</v>
      </c>
    </row>
    <row r="247" spans="1:14" ht="15">
      <c r="A247" s="493">
        <f t="shared" si="29"/>
        <v>47</v>
      </c>
      <c r="B247" s="498" t="s">
        <v>963</v>
      </c>
      <c r="C247" s="500" t="s">
        <v>964</v>
      </c>
      <c r="D247" s="500">
        <v>250</v>
      </c>
      <c r="E247" s="500">
        <f t="shared" si="33"/>
        <v>361.5</v>
      </c>
      <c r="F247" s="500">
        <v>24.1</v>
      </c>
      <c r="G247" s="495">
        <f t="shared" si="31"/>
        <v>104.6897142857143</v>
      </c>
      <c r="H247" s="520">
        <v>108</v>
      </c>
      <c r="I247" s="496">
        <v>135</v>
      </c>
      <c r="J247" s="496">
        <v>110</v>
      </c>
      <c r="K247" s="496">
        <f t="shared" si="32"/>
        <v>168.0952380952381</v>
      </c>
      <c r="L247" s="496">
        <f t="shared" si="27"/>
        <v>0.46499374300204177</v>
      </c>
      <c r="M247" s="501">
        <f>(250*0.85-G247-G248)*0.352</f>
        <v>11.53775542857142</v>
      </c>
      <c r="N247" s="502">
        <f t="shared" si="28"/>
        <v>13.573829915966378</v>
      </c>
    </row>
    <row r="248" spans="1:14" ht="15">
      <c r="A248" s="493">
        <f t="shared" si="29"/>
        <v>48</v>
      </c>
      <c r="B248" s="498" t="s">
        <v>965</v>
      </c>
      <c r="C248" s="500" t="s">
        <v>964</v>
      </c>
      <c r="D248" s="500">
        <v>250</v>
      </c>
      <c r="E248" s="500">
        <f t="shared" si="33"/>
        <v>361.5</v>
      </c>
      <c r="F248" s="500">
        <v>24.1</v>
      </c>
      <c r="G248" s="495">
        <f t="shared" si="31"/>
        <v>75.03257142857143</v>
      </c>
      <c r="H248" s="520">
        <v>58</v>
      </c>
      <c r="I248" s="496">
        <v>107</v>
      </c>
      <c r="J248" s="496">
        <v>88</v>
      </c>
      <c r="K248" s="496">
        <f t="shared" si="32"/>
        <v>120.47619047619048</v>
      </c>
      <c r="L248" s="496">
        <f t="shared" si="27"/>
        <v>0.3332674701969308</v>
      </c>
      <c r="M248" s="501">
        <f>(250*0.85-G248-G247)*0.352</f>
        <v>11.53775542857142</v>
      </c>
      <c r="N248" s="502">
        <f t="shared" si="28"/>
        <v>13.573829915966378</v>
      </c>
    </row>
    <row r="249" spans="1:14" ht="15">
      <c r="A249" s="493">
        <f t="shared" si="29"/>
        <v>49</v>
      </c>
      <c r="B249" s="498" t="s">
        <v>966</v>
      </c>
      <c r="C249" s="500" t="s">
        <v>967</v>
      </c>
      <c r="D249" s="500">
        <v>320</v>
      </c>
      <c r="E249" s="500">
        <f t="shared" si="33"/>
        <v>462.3</v>
      </c>
      <c r="F249" s="500">
        <v>30.82</v>
      </c>
      <c r="G249" s="495">
        <f t="shared" si="31"/>
        <v>105.5794285714286</v>
      </c>
      <c r="H249" s="495">
        <v>142</v>
      </c>
      <c r="I249" s="496">
        <v>102</v>
      </c>
      <c r="J249" s="496">
        <v>112</v>
      </c>
      <c r="K249" s="496">
        <f t="shared" si="32"/>
        <v>169.52380952380952</v>
      </c>
      <c r="L249" s="496">
        <f t="shared" si="27"/>
        <v>0.3666965380138644</v>
      </c>
      <c r="M249" s="501">
        <f>(320*0.85-G249-G250)*0.352</f>
        <v>6.466984228571414</v>
      </c>
      <c r="N249" s="502">
        <f t="shared" si="28"/>
        <v>7.608216739495782</v>
      </c>
    </row>
    <row r="250" spans="1:14" ht="15">
      <c r="A250" s="493">
        <f t="shared" si="29"/>
        <v>50</v>
      </c>
      <c r="B250" s="498" t="s">
        <v>968</v>
      </c>
      <c r="C250" s="500" t="s">
        <v>951</v>
      </c>
      <c r="D250" s="500">
        <v>400</v>
      </c>
      <c r="E250" s="500">
        <f t="shared" si="33"/>
        <v>577.95</v>
      </c>
      <c r="F250" s="500">
        <v>38.53</v>
      </c>
      <c r="G250" s="495">
        <f t="shared" si="31"/>
        <v>148.04845714285716</v>
      </c>
      <c r="H250" s="495">
        <v>160</v>
      </c>
      <c r="I250" s="496">
        <v>180</v>
      </c>
      <c r="J250" s="496">
        <v>159.2</v>
      </c>
      <c r="K250" s="496">
        <f t="shared" si="32"/>
        <v>237.71428571428572</v>
      </c>
      <c r="L250" s="496">
        <f t="shared" si="27"/>
        <v>0.4113059706104087</v>
      </c>
      <c r="M250" s="501">
        <f>(400*0.85-G250-G249)*0.352</f>
        <v>30.402984228571412</v>
      </c>
      <c r="N250" s="502">
        <f t="shared" si="28"/>
        <v>35.76821673949578</v>
      </c>
    </row>
    <row r="251" spans="1:14" ht="15">
      <c r="A251" s="493">
        <f t="shared" si="29"/>
        <v>51</v>
      </c>
      <c r="B251" s="498" t="s">
        <v>969</v>
      </c>
      <c r="C251" s="500" t="s">
        <v>964</v>
      </c>
      <c r="D251" s="500">
        <v>250</v>
      </c>
      <c r="E251" s="500">
        <f t="shared" si="33"/>
        <v>361.5</v>
      </c>
      <c r="F251" s="500">
        <v>24.1</v>
      </c>
      <c r="G251" s="495">
        <f t="shared" si="31"/>
        <v>52.5228</v>
      </c>
      <c r="H251" s="520">
        <v>45</v>
      </c>
      <c r="I251" s="496">
        <v>64</v>
      </c>
      <c r="J251" s="496">
        <v>68.1</v>
      </c>
      <c r="K251" s="496">
        <f t="shared" si="32"/>
        <v>84.33333333333334</v>
      </c>
      <c r="L251" s="496">
        <f t="shared" si="27"/>
        <v>0.23328722913785158</v>
      </c>
      <c r="M251" s="501">
        <f>(250*0.85-G251-G252)*0.352</f>
        <v>18.20847725714286</v>
      </c>
      <c r="N251" s="502">
        <f t="shared" si="28"/>
        <v>21.421737949579835</v>
      </c>
    </row>
    <row r="252" spans="1:14" ht="15">
      <c r="A252" s="493">
        <f t="shared" si="29"/>
        <v>52</v>
      </c>
      <c r="B252" s="498" t="s">
        <v>970</v>
      </c>
      <c r="C252" s="500" t="s">
        <v>964</v>
      </c>
      <c r="D252" s="500">
        <v>250</v>
      </c>
      <c r="E252" s="500">
        <f t="shared" si="33"/>
        <v>361.5</v>
      </c>
      <c r="F252" s="500">
        <v>24.1</v>
      </c>
      <c r="G252" s="495">
        <f t="shared" si="31"/>
        <v>108.24857142857142</v>
      </c>
      <c r="H252" s="520">
        <v>151</v>
      </c>
      <c r="I252" s="496">
        <v>110</v>
      </c>
      <c r="J252" s="496">
        <v>104</v>
      </c>
      <c r="K252" s="496">
        <f t="shared" si="32"/>
        <v>173.80952380952382</v>
      </c>
      <c r="L252" s="496">
        <f t="shared" si="27"/>
        <v>0.48080089573865514</v>
      </c>
      <c r="M252" s="501">
        <f>(250*0.85-G252-G251)*0.352</f>
        <v>18.20847725714286</v>
      </c>
      <c r="N252" s="502">
        <f t="shared" si="28"/>
        <v>21.421737949579835</v>
      </c>
    </row>
    <row r="253" spans="1:14" ht="15">
      <c r="A253" s="493">
        <f t="shared" si="29"/>
        <v>53</v>
      </c>
      <c r="B253" s="498" t="s">
        <v>971</v>
      </c>
      <c r="C253" s="500" t="s">
        <v>910</v>
      </c>
      <c r="D253" s="500">
        <v>400</v>
      </c>
      <c r="E253" s="500">
        <f t="shared" si="33"/>
        <v>577.95</v>
      </c>
      <c r="F253" s="500">
        <v>38.53</v>
      </c>
      <c r="G253" s="495">
        <f t="shared" si="31"/>
        <v>70.28742857142858</v>
      </c>
      <c r="H253" s="495">
        <v>66</v>
      </c>
      <c r="I253" s="496">
        <v>70</v>
      </c>
      <c r="J253" s="496">
        <v>101</v>
      </c>
      <c r="K253" s="496">
        <f t="shared" si="32"/>
        <v>112.85714285714286</v>
      </c>
      <c r="L253" s="496">
        <f t="shared" si="27"/>
        <v>0.19527146441239354</v>
      </c>
      <c r="M253" s="501">
        <f>(400*0.85-G253-G254)*0.352</f>
        <v>79.38424685714286</v>
      </c>
      <c r="N253" s="502">
        <f t="shared" si="28"/>
        <v>93.39323159663866</v>
      </c>
    </row>
    <row r="254" spans="1:14" ht="15">
      <c r="A254" s="493">
        <f t="shared" si="29"/>
        <v>54</v>
      </c>
      <c r="B254" s="498" t="s">
        <v>972</v>
      </c>
      <c r="C254" s="500" t="s">
        <v>910</v>
      </c>
      <c r="D254" s="500">
        <v>400</v>
      </c>
      <c r="E254" s="500">
        <f t="shared" si="33"/>
        <v>577.95</v>
      </c>
      <c r="F254" s="500">
        <v>38.53</v>
      </c>
      <c r="G254" s="495">
        <f t="shared" si="31"/>
        <v>44.18914285714286</v>
      </c>
      <c r="H254" s="495">
        <v>23</v>
      </c>
      <c r="I254" s="496">
        <v>46</v>
      </c>
      <c r="J254" s="496">
        <v>80</v>
      </c>
      <c r="K254" s="496">
        <f t="shared" si="32"/>
        <v>70.95238095238095</v>
      </c>
      <c r="L254" s="496">
        <f t="shared" si="27"/>
        <v>0.1227656042086356</v>
      </c>
      <c r="M254" s="501">
        <f>(400*0.85-G254-G253)*0.352</f>
        <v>79.38424685714284</v>
      </c>
      <c r="N254" s="502">
        <f t="shared" si="28"/>
        <v>93.39323159663864</v>
      </c>
    </row>
    <row r="255" spans="1:14" ht="15">
      <c r="A255" s="493">
        <f t="shared" si="29"/>
        <v>55</v>
      </c>
      <c r="B255" s="498" t="s">
        <v>973</v>
      </c>
      <c r="C255" s="500" t="s">
        <v>974</v>
      </c>
      <c r="D255" s="500">
        <v>630</v>
      </c>
      <c r="E255" s="500">
        <f t="shared" si="33"/>
        <v>910.5</v>
      </c>
      <c r="F255" s="500">
        <v>60.7</v>
      </c>
      <c r="G255" s="495">
        <f t="shared" si="31"/>
        <v>178.03182857142858</v>
      </c>
      <c r="H255" s="495">
        <v>214</v>
      </c>
      <c r="I255" s="496">
        <v>199.3</v>
      </c>
      <c r="J255" s="496">
        <v>187</v>
      </c>
      <c r="K255" s="496">
        <f t="shared" si="32"/>
        <v>285.85714285714283</v>
      </c>
      <c r="L255" s="499">
        <f t="shared" si="27"/>
        <v>0.31395622499411624</v>
      </c>
      <c r="M255" s="501">
        <f>(630*0.85-G255-G256)*0.352</f>
        <v>25.955876571428554</v>
      </c>
      <c r="N255" s="502">
        <f t="shared" si="28"/>
        <v>30.53632537815124</v>
      </c>
    </row>
    <row r="256" spans="1:14" ht="15">
      <c r="A256" s="493">
        <f t="shared" si="29"/>
        <v>56</v>
      </c>
      <c r="B256" s="498" t="s">
        <v>975</v>
      </c>
      <c r="C256" s="500" t="s">
        <v>974</v>
      </c>
      <c r="D256" s="500">
        <v>630</v>
      </c>
      <c r="E256" s="500">
        <f t="shared" si="33"/>
        <v>910.5</v>
      </c>
      <c r="F256" s="500">
        <v>60.7</v>
      </c>
      <c r="G256" s="495">
        <f t="shared" si="31"/>
        <v>283.72988571428573</v>
      </c>
      <c r="H256" s="495">
        <v>364.2</v>
      </c>
      <c r="I256" s="496">
        <v>338.40000000000003</v>
      </c>
      <c r="J256" s="496">
        <v>254.10000000000002</v>
      </c>
      <c r="K256" s="496">
        <f t="shared" si="32"/>
        <v>455.57142857142867</v>
      </c>
      <c r="L256" s="499">
        <f t="shared" si="27"/>
        <v>0.500353024240998</v>
      </c>
      <c r="M256" s="501">
        <f>(630*0.85-G256-G255)*0.352</f>
        <v>25.955876571428565</v>
      </c>
      <c r="N256" s="502">
        <f t="shared" si="28"/>
        <v>30.536325378151254</v>
      </c>
    </row>
    <row r="257" spans="1:14" ht="15">
      <c r="A257" s="493">
        <f t="shared" si="29"/>
        <v>57</v>
      </c>
      <c r="B257" s="498" t="s">
        <v>976</v>
      </c>
      <c r="C257" s="521" t="s">
        <v>974</v>
      </c>
      <c r="D257" s="500">
        <v>630</v>
      </c>
      <c r="E257" s="500">
        <f t="shared" si="33"/>
        <v>910.5</v>
      </c>
      <c r="F257" s="500">
        <v>60.7</v>
      </c>
      <c r="G257" s="495">
        <f t="shared" si="31"/>
        <v>34.63954285714286</v>
      </c>
      <c r="H257" s="522">
        <v>32.5</v>
      </c>
      <c r="I257" s="523">
        <v>38.8</v>
      </c>
      <c r="J257" s="523">
        <v>45.5</v>
      </c>
      <c r="K257" s="496">
        <f t="shared" si="32"/>
        <v>55.61904761904762</v>
      </c>
      <c r="L257" s="496">
        <f t="shared" si="27"/>
        <v>0.061086268664522374</v>
      </c>
      <c r="M257" s="501">
        <f>(630*0.85-G257-G258)*0.352</f>
        <v>154.53691062857143</v>
      </c>
      <c r="N257" s="502">
        <f t="shared" si="28"/>
        <v>181.8081301512605</v>
      </c>
    </row>
    <row r="258" spans="1:14" ht="15">
      <c r="A258" s="493">
        <f t="shared" si="29"/>
        <v>58</v>
      </c>
      <c r="B258" s="498" t="s">
        <v>977</v>
      </c>
      <c r="C258" s="500" t="s">
        <v>978</v>
      </c>
      <c r="D258" s="500">
        <v>630</v>
      </c>
      <c r="E258" s="500">
        <f t="shared" si="33"/>
        <v>910.5</v>
      </c>
      <c r="F258" s="500">
        <v>60.7</v>
      </c>
      <c r="G258" s="495">
        <f t="shared" si="31"/>
        <v>61.83514285714287</v>
      </c>
      <c r="H258" s="495">
        <v>78.3</v>
      </c>
      <c r="I258" s="496">
        <v>58.10000000000001</v>
      </c>
      <c r="J258" s="496">
        <v>72.1</v>
      </c>
      <c r="K258" s="496">
        <f t="shared" si="32"/>
        <v>99.28571428571429</v>
      </c>
      <c r="L258" s="496">
        <f t="shared" si="27"/>
        <v>0.10904526555267907</v>
      </c>
      <c r="M258" s="501">
        <f>(630*0.85-G258-G257)*0.352</f>
        <v>154.53691062857143</v>
      </c>
      <c r="N258" s="502">
        <f t="shared" si="28"/>
        <v>181.8081301512605</v>
      </c>
    </row>
    <row r="259" spans="1:14" ht="15">
      <c r="A259" s="493">
        <f t="shared" si="29"/>
        <v>59</v>
      </c>
      <c r="B259" s="498" t="s">
        <v>979</v>
      </c>
      <c r="C259" s="500" t="s">
        <v>980</v>
      </c>
      <c r="D259" s="500">
        <v>250</v>
      </c>
      <c r="E259" s="500">
        <f t="shared" si="33"/>
        <v>361.5</v>
      </c>
      <c r="F259" s="500">
        <v>24.1</v>
      </c>
      <c r="G259" s="495">
        <f t="shared" si="31"/>
        <v>0</v>
      </c>
      <c r="H259" s="495">
        <v>0</v>
      </c>
      <c r="I259" s="496">
        <v>0</v>
      </c>
      <c r="J259" s="496">
        <v>0</v>
      </c>
      <c r="K259" s="496">
        <f t="shared" si="32"/>
        <v>0</v>
      </c>
      <c r="L259" s="496">
        <v>0</v>
      </c>
      <c r="M259" s="501">
        <f>(320*0.85-G259-G260)*0.352</f>
        <v>95.744</v>
      </c>
      <c r="N259" s="502">
        <f t="shared" si="28"/>
        <v>112.64</v>
      </c>
    </row>
    <row r="260" spans="1:14" ht="15">
      <c r="A260" s="493">
        <f t="shared" si="29"/>
        <v>60</v>
      </c>
      <c r="B260" s="498" t="s">
        <v>981</v>
      </c>
      <c r="C260" s="500" t="s">
        <v>980</v>
      </c>
      <c r="D260" s="500">
        <v>250</v>
      </c>
      <c r="E260" s="500">
        <f t="shared" si="33"/>
        <v>361.5</v>
      </c>
      <c r="F260" s="500">
        <v>24.1</v>
      </c>
      <c r="G260" s="495">
        <f t="shared" si="31"/>
        <v>0</v>
      </c>
      <c r="H260" s="495">
        <v>0</v>
      </c>
      <c r="I260" s="496">
        <v>0</v>
      </c>
      <c r="J260" s="496">
        <v>0</v>
      </c>
      <c r="K260" s="496">
        <f t="shared" si="32"/>
        <v>0</v>
      </c>
      <c r="L260" s="496">
        <v>0</v>
      </c>
      <c r="M260" s="501">
        <f>(400*0.85-G260-G259)*0.352</f>
        <v>119.67999999999999</v>
      </c>
      <c r="N260" s="502">
        <f t="shared" si="28"/>
        <v>140.79999999999998</v>
      </c>
    </row>
    <row r="261" spans="1:14" ht="15">
      <c r="A261" s="493">
        <f t="shared" si="29"/>
        <v>61</v>
      </c>
      <c r="B261" s="498" t="s">
        <v>982</v>
      </c>
      <c r="C261" s="500" t="s">
        <v>908</v>
      </c>
      <c r="D261" s="500">
        <v>630</v>
      </c>
      <c r="E261" s="500">
        <f t="shared" si="33"/>
        <v>910.5</v>
      </c>
      <c r="F261" s="500">
        <v>60.7</v>
      </c>
      <c r="G261" s="495">
        <f t="shared" si="31"/>
        <v>245.26457142857143</v>
      </c>
      <c r="H261" s="495">
        <v>254</v>
      </c>
      <c r="I261" s="496">
        <v>308</v>
      </c>
      <c r="J261" s="496">
        <v>265</v>
      </c>
      <c r="K261" s="496">
        <f t="shared" si="32"/>
        <v>393.80952380952385</v>
      </c>
      <c r="L261" s="496">
        <f t="shared" si="27"/>
        <v>0.4325200700818494</v>
      </c>
      <c r="M261" s="501">
        <f>(630*0.85-G261-G262)*0.352</f>
        <v>65.10330514285712</v>
      </c>
      <c r="N261" s="502">
        <f t="shared" si="28"/>
        <v>76.59212369747897</v>
      </c>
    </row>
    <row r="262" spans="1:14" ht="15">
      <c r="A262" s="493">
        <f t="shared" si="29"/>
        <v>62</v>
      </c>
      <c r="B262" s="498" t="s">
        <v>983</v>
      </c>
      <c r="C262" s="500" t="s">
        <v>908</v>
      </c>
      <c r="D262" s="500">
        <v>630</v>
      </c>
      <c r="E262" s="500">
        <f t="shared" si="33"/>
        <v>910.5</v>
      </c>
      <c r="F262" s="500">
        <v>60.7</v>
      </c>
      <c r="G262" s="495">
        <f t="shared" si="31"/>
        <v>105.28285714285714</v>
      </c>
      <c r="H262" s="495">
        <v>126</v>
      </c>
      <c r="I262" s="496">
        <v>108</v>
      </c>
      <c r="J262" s="496">
        <v>121</v>
      </c>
      <c r="K262" s="496">
        <f t="shared" si="32"/>
        <v>169.04761904761904</v>
      </c>
      <c r="L262" s="496">
        <f t="shared" si="27"/>
        <v>0.18566460082110822</v>
      </c>
      <c r="M262" s="501">
        <f>(630*0.85-G262-G261)*0.352</f>
        <v>65.10330514285714</v>
      </c>
      <c r="N262" s="502">
        <f t="shared" si="28"/>
        <v>76.59212369747898</v>
      </c>
    </row>
    <row r="263" spans="1:14" ht="15">
      <c r="A263" s="493">
        <f t="shared" si="29"/>
        <v>63</v>
      </c>
      <c r="B263" s="498" t="s">
        <v>984</v>
      </c>
      <c r="C263" s="500" t="s">
        <v>910</v>
      </c>
      <c r="D263" s="521">
        <v>400</v>
      </c>
      <c r="E263" s="500">
        <f t="shared" si="33"/>
        <v>577.95</v>
      </c>
      <c r="F263" s="521">
        <v>38.53</v>
      </c>
      <c r="G263" s="495">
        <f t="shared" si="31"/>
        <v>318.33977142857145</v>
      </c>
      <c r="H263" s="495">
        <v>383.4</v>
      </c>
      <c r="I263" s="496">
        <v>343.3</v>
      </c>
      <c r="J263" s="496">
        <v>346.7</v>
      </c>
      <c r="K263" s="496">
        <f t="shared" si="32"/>
        <v>511.1428571428571</v>
      </c>
      <c r="L263" s="496">
        <f t="shared" si="27"/>
        <v>0.8844067084399292</v>
      </c>
      <c r="M263" s="501">
        <f>(400*0.85-G263)*0.352</f>
        <v>7.6244004571428485</v>
      </c>
      <c r="N263" s="502">
        <f t="shared" si="28"/>
        <v>8.969882890756292</v>
      </c>
    </row>
    <row r="264" spans="1:14" ht="15">
      <c r="A264" s="524">
        <f>A263+1</f>
        <v>64</v>
      </c>
      <c r="B264" s="525" t="s">
        <v>985</v>
      </c>
      <c r="C264" s="521" t="s">
        <v>918</v>
      </c>
      <c r="D264" s="521">
        <v>400</v>
      </c>
      <c r="E264" s="521">
        <f t="shared" si="33"/>
        <v>577.95</v>
      </c>
      <c r="F264" s="521">
        <v>38.53</v>
      </c>
      <c r="G264" s="522">
        <f t="shared" si="31"/>
        <v>19.27714285714286</v>
      </c>
      <c r="H264" s="522">
        <v>20</v>
      </c>
      <c r="I264" s="523">
        <v>30</v>
      </c>
      <c r="J264" s="523">
        <v>15</v>
      </c>
      <c r="K264" s="523">
        <f t="shared" si="32"/>
        <v>30.952380952380953</v>
      </c>
      <c r="L264" s="523">
        <f t="shared" si="27"/>
        <v>0.053555464923230295</v>
      </c>
      <c r="M264" s="526">
        <f>(400*0.85-G264)*0.352</f>
        <v>112.89444571428571</v>
      </c>
      <c r="N264" s="527">
        <f t="shared" si="28"/>
        <v>132.81699495798318</v>
      </c>
    </row>
    <row r="265" spans="1:14" s="30" customFormat="1" ht="15">
      <c r="A265" s="493">
        <f>A264+1</f>
        <v>65</v>
      </c>
      <c r="B265" s="498" t="s">
        <v>986</v>
      </c>
      <c r="C265" s="500" t="s">
        <v>987</v>
      </c>
      <c r="D265" s="500">
        <v>320</v>
      </c>
      <c r="E265" s="500">
        <f t="shared" si="33"/>
        <v>462.3</v>
      </c>
      <c r="F265" s="500">
        <v>30.82</v>
      </c>
      <c r="G265" s="494">
        <f t="shared" si="31"/>
        <v>52.7897142857143</v>
      </c>
      <c r="H265" s="495">
        <v>77</v>
      </c>
      <c r="I265" s="496">
        <v>75</v>
      </c>
      <c r="J265" s="496">
        <v>26</v>
      </c>
      <c r="K265" s="518">
        <f t="shared" si="32"/>
        <v>84.76190476190476</v>
      </c>
      <c r="L265" s="518">
        <f>K265/E265</f>
        <v>0.1833482690069322</v>
      </c>
      <c r="M265" s="502">
        <f>(320*0.85-G265)*0.352</f>
        <v>77.16202057142856</v>
      </c>
      <c r="N265" s="502">
        <f>M265/0.85</f>
        <v>90.77884773109243</v>
      </c>
    </row>
    <row r="266" spans="1:14" s="30" customFormat="1" ht="15">
      <c r="A266" s="493"/>
      <c r="B266" s="528" t="s">
        <v>988</v>
      </c>
      <c r="C266" s="493"/>
      <c r="D266" s="529">
        <f>SUM(D201:D265)</f>
        <v>47940</v>
      </c>
      <c r="E266" s="493"/>
      <c r="F266" s="493"/>
      <c r="G266" s="493"/>
      <c r="H266" s="498"/>
      <c r="I266" s="508"/>
      <c r="J266" s="508"/>
      <c r="K266" s="493"/>
      <c r="L266" s="530"/>
      <c r="M266" s="531">
        <f>SUM(M203:M265)/2*0.868-650</f>
        <v>613.8848879359998</v>
      </c>
      <c r="N266" s="531">
        <f>SUM(N203:N265)/2*0.868-764</f>
        <v>722.923397571765</v>
      </c>
    </row>
    <row r="267" ht="15.75"/>
  </sheetData>
  <sheetProtection/>
  <mergeCells count="194">
    <mergeCell ref="A3:P3"/>
    <mergeCell ref="A4:P4"/>
    <mergeCell ref="A5:A7"/>
    <mergeCell ref="B5:B7"/>
    <mergeCell ref="C5:F5"/>
    <mergeCell ref="G5:G7"/>
    <mergeCell ref="H5:H7"/>
    <mergeCell ref="I5:I7"/>
    <mergeCell ref="J5:M5"/>
    <mergeCell ref="N5:N7"/>
    <mergeCell ref="O5:O7"/>
    <mergeCell ref="P5:P7"/>
    <mergeCell ref="J6:L6"/>
    <mergeCell ref="M6:M7"/>
    <mergeCell ref="A8:O8"/>
    <mergeCell ref="B14:B15"/>
    <mergeCell ref="I14:I15"/>
    <mergeCell ref="O14:O15"/>
    <mergeCell ref="P14:P15"/>
    <mergeCell ref="B16:B17"/>
    <mergeCell ref="I16:I17"/>
    <mergeCell ref="O16:O17"/>
    <mergeCell ref="P16:P17"/>
    <mergeCell ref="B18:B19"/>
    <mergeCell ref="I18:I19"/>
    <mergeCell ref="O18:O19"/>
    <mergeCell ref="P18:P19"/>
    <mergeCell ref="B20:B21"/>
    <mergeCell ref="I20:I21"/>
    <mergeCell ref="O20:O21"/>
    <mergeCell ref="P20:P21"/>
    <mergeCell ref="B22:B23"/>
    <mergeCell ref="I22:I23"/>
    <mergeCell ref="O22:O23"/>
    <mergeCell ref="P22:P23"/>
    <mergeCell ref="B24:B25"/>
    <mergeCell ref="I24:I25"/>
    <mergeCell ref="O24:O25"/>
    <mergeCell ref="P24:P25"/>
    <mergeCell ref="B26:B27"/>
    <mergeCell ref="I26:I27"/>
    <mergeCell ref="O26:O27"/>
    <mergeCell ref="P26:P27"/>
    <mergeCell ref="B33:P33"/>
    <mergeCell ref="B50:P50"/>
    <mergeCell ref="B51:B52"/>
    <mergeCell ref="I51:I52"/>
    <mergeCell ref="O51:O52"/>
    <mergeCell ref="P51:P52"/>
    <mergeCell ref="B53:B54"/>
    <mergeCell ref="I53:I54"/>
    <mergeCell ref="O53:O54"/>
    <mergeCell ref="P53:P54"/>
    <mergeCell ref="B55:B56"/>
    <mergeCell ref="I55:I56"/>
    <mergeCell ref="O55:O56"/>
    <mergeCell ref="P55:P56"/>
    <mergeCell ref="B57:B58"/>
    <mergeCell ref="I57:I58"/>
    <mergeCell ref="O57:O58"/>
    <mergeCell ref="P57:P58"/>
    <mergeCell ref="B59:B60"/>
    <mergeCell ref="I59:I60"/>
    <mergeCell ref="O59:O60"/>
    <mergeCell ref="P59:P60"/>
    <mergeCell ref="B61:B62"/>
    <mergeCell ref="I61:I62"/>
    <mergeCell ref="O61:O62"/>
    <mergeCell ref="P61:P62"/>
    <mergeCell ref="B63:B64"/>
    <mergeCell ref="I63:I64"/>
    <mergeCell ref="O63:O64"/>
    <mergeCell ref="P63:P64"/>
    <mergeCell ref="B65:B66"/>
    <mergeCell ref="I65:I66"/>
    <mergeCell ref="O65:O66"/>
    <mergeCell ref="P65:P66"/>
    <mergeCell ref="B67:B68"/>
    <mergeCell ref="I67:I68"/>
    <mergeCell ref="O67:O68"/>
    <mergeCell ref="P67:P68"/>
    <mergeCell ref="B70:B71"/>
    <mergeCell ref="I70:I71"/>
    <mergeCell ref="O70:O71"/>
    <mergeCell ref="P70:P71"/>
    <mergeCell ref="B72:B73"/>
    <mergeCell ref="I72:I73"/>
    <mergeCell ref="O72:O73"/>
    <mergeCell ref="P72:P73"/>
    <mergeCell ref="B74:B75"/>
    <mergeCell ref="I74:I75"/>
    <mergeCell ref="O74:O75"/>
    <mergeCell ref="P74:P75"/>
    <mergeCell ref="B76:B77"/>
    <mergeCell ref="I76:I77"/>
    <mergeCell ref="O76:O77"/>
    <mergeCell ref="P76:P77"/>
    <mergeCell ref="B78:B79"/>
    <mergeCell ref="I78:I79"/>
    <mergeCell ref="O78:O79"/>
    <mergeCell ref="P78:P79"/>
    <mergeCell ref="B80:B81"/>
    <mergeCell ref="I80:I81"/>
    <mergeCell ref="O80:O81"/>
    <mergeCell ref="P80:P81"/>
    <mergeCell ref="B82:B83"/>
    <mergeCell ref="I82:I83"/>
    <mergeCell ref="O82:O83"/>
    <mergeCell ref="P82:P83"/>
    <mergeCell ref="B84:B85"/>
    <mergeCell ref="I84:I85"/>
    <mergeCell ref="O84:O85"/>
    <mergeCell ref="P84:P85"/>
    <mergeCell ref="B86:B87"/>
    <mergeCell ref="I86:I87"/>
    <mergeCell ref="O86:O87"/>
    <mergeCell ref="P86:P87"/>
    <mergeCell ref="B88:B89"/>
    <mergeCell ref="I88:I89"/>
    <mergeCell ref="O88:O89"/>
    <mergeCell ref="P88:P89"/>
    <mergeCell ref="B90:B91"/>
    <mergeCell ref="I90:I91"/>
    <mergeCell ref="O90:O91"/>
    <mergeCell ref="P90:P91"/>
    <mergeCell ref="B92:B93"/>
    <mergeCell ref="I92:I93"/>
    <mergeCell ref="O92:O93"/>
    <mergeCell ref="P92:P93"/>
    <mergeCell ref="B94:B95"/>
    <mergeCell ref="I94:I95"/>
    <mergeCell ref="O94:O95"/>
    <mergeCell ref="P94:P95"/>
    <mergeCell ref="B96:B97"/>
    <mergeCell ref="I96:I97"/>
    <mergeCell ref="O96:O97"/>
    <mergeCell ref="P96:P97"/>
    <mergeCell ref="B98:B99"/>
    <mergeCell ref="I98:I99"/>
    <mergeCell ref="O98:O99"/>
    <mergeCell ref="P98:P99"/>
    <mergeCell ref="B100:B101"/>
    <mergeCell ref="I100:I101"/>
    <mergeCell ref="O100:O101"/>
    <mergeCell ref="P100:P101"/>
    <mergeCell ref="B103:B104"/>
    <mergeCell ref="I103:I104"/>
    <mergeCell ref="O103:O104"/>
    <mergeCell ref="P103:P104"/>
    <mergeCell ref="B105:B106"/>
    <mergeCell ref="I105:I106"/>
    <mergeCell ref="O105:O106"/>
    <mergeCell ref="P105:P106"/>
    <mergeCell ref="B107:B108"/>
    <mergeCell ref="I107:I108"/>
    <mergeCell ref="O107:O108"/>
    <mergeCell ref="P107:P108"/>
    <mergeCell ref="B109:B110"/>
    <mergeCell ref="I109:I110"/>
    <mergeCell ref="O109:O110"/>
    <mergeCell ref="P109:P110"/>
    <mergeCell ref="B111:B112"/>
    <mergeCell ref="I111:I112"/>
    <mergeCell ref="O111:O112"/>
    <mergeCell ref="P111:P112"/>
    <mergeCell ref="P119:P120"/>
    <mergeCell ref="B113:B114"/>
    <mergeCell ref="I113:I114"/>
    <mergeCell ref="O113:O114"/>
    <mergeCell ref="P113:P114"/>
    <mergeCell ref="B115:B116"/>
    <mergeCell ref="I115:I116"/>
    <mergeCell ref="O115:O116"/>
    <mergeCell ref="P115:P116"/>
    <mergeCell ref="I128:I129"/>
    <mergeCell ref="O128:O129"/>
    <mergeCell ref="P128:P129"/>
    <mergeCell ref="B117:B118"/>
    <mergeCell ref="I117:I118"/>
    <mergeCell ref="O117:O118"/>
    <mergeCell ref="P117:P118"/>
    <mergeCell ref="B119:B120"/>
    <mergeCell ref="I119:I120"/>
    <mergeCell ref="O119:O120"/>
    <mergeCell ref="A1:P1"/>
    <mergeCell ref="A138:M138"/>
    <mergeCell ref="B200:M200"/>
    <mergeCell ref="A135:N135"/>
    <mergeCell ref="A136:N136"/>
    <mergeCell ref="B121:B122"/>
    <mergeCell ref="I121:I122"/>
    <mergeCell ref="O121:O122"/>
    <mergeCell ref="P121:P122"/>
    <mergeCell ref="B128:B129"/>
  </mergeCells>
  <printOptions/>
  <pageMargins left="0.3937007874015748" right="0.1968503937007874" top="0.7874015748031497" bottom="0.1968503937007874" header="0" footer="0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7"/>
  <sheetViews>
    <sheetView workbookViewId="0" topLeftCell="A1">
      <selection activeCell="B7" sqref="B7"/>
    </sheetView>
  </sheetViews>
  <sheetFormatPr defaultColWidth="9.140625" defaultRowHeight="15"/>
  <cols>
    <col min="1" max="1" width="6.00390625" style="396" customWidth="1"/>
    <col min="2" max="2" width="13.7109375" style="396" customWidth="1"/>
    <col min="3" max="3" width="7.7109375" style="396" customWidth="1"/>
    <col min="4" max="4" width="15.28125" style="396" customWidth="1"/>
    <col min="5" max="5" width="18.28125" style="396" customWidth="1"/>
    <col min="6" max="6" width="13.28125" style="396" customWidth="1"/>
    <col min="7" max="7" width="15.421875" style="396" customWidth="1"/>
    <col min="8" max="8" width="14.421875" style="396" customWidth="1"/>
    <col min="9" max="9" width="19.7109375" style="396" customWidth="1"/>
    <col min="10" max="10" width="12.57421875" style="404" customWidth="1"/>
    <col min="11" max="11" width="10.140625" style="396" customWidth="1"/>
    <col min="12" max="12" width="13.421875" style="396" customWidth="1"/>
    <col min="13" max="13" width="17.57421875" style="396" customWidth="1"/>
    <col min="14" max="16384" width="9.140625" style="396" customWidth="1"/>
  </cols>
  <sheetData>
    <row r="1" spans="1:13" ht="36.75" customHeight="1">
      <c r="A1" s="643" t="s">
        <v>762</v>
      </c>
      <c r="B1" s="643"/>
      <c r="C1" s="643"/>
      <c r="D1" s="643"/>
      <c r="E1" s="643"/>
      <c r="F1" s="643"/>
      <c r="G1" s="643"/>
      <c r="H1" s="643"/>
      <c r="I1" s="401"/>
      <c r="J1" s="402"/>
      <c r="K1" s="401"/>
      <c r="L1" s="401"/>
      <c r="M1" s="401"/>
    </row>
    <row r="2" spans="1:3" ht="15.75">
      <c r="A2" s="403"/>
      <c r="B2" s="403"/>
      <c r="C2" s="403"/>
    </row>
    <row r="3" spans="1:8" ht="32.25" customHeight="1">
      <c r="A3" s="682" t="s">
        <v>763</v>
      </c>
      <c r="B3" s="682"/>
      <c r="C3" s="682"/>
      <c r="D3" s="682"/>
      <c r="E3" s="682"/>
      <c r="F3" s="682"/>
      <c r="G3" s="682"/>
      <c r="H3" s="682"/>
    </row>
    <row r="5" spans="1:8" ht="62.25" customHeight="1">
      <c r="A5" s="643" t="s">
        <v>1002</v>
      </c>
      <c r="B5" s="643"/>
      <c r="C5" s="643"/>
      <c r="D5" s="643"/>
      <c r="E5" s="643"/>
      <c r="F5" s="643"/>
      <c r="G5" s="643"/>
      <c r="H5" s="643"/>
    </row>
    <row r="7" ht="15.75">
      <c r="A7" s="396" t="s">
        <v>1001</v>
      </c>
    </row>
  </sheetData>
  <sheetProtection/>
  <mergeCells count="3">
    <mergeCell ref="A3:H3"/>
    <mergeCell ref="A1:H1"/>
    <mergeCell ref="A5:H5"/>
  </mergeCells>
  <printOptions/>
  <pageMargins left="0.3937007874015748" right="0.1968503937007874" top="0.7874015748031497" bottom="0.1968503937007874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22"/>
  <sheetViews>
    <sheetView zoomScale="60" zoomScaleNormal="60" zoomScalePageLayoutView="0" workbookViewId="0" topLeftCell="A1">
      <pane xSplit="2" ySplit="6" topLeftCell="AB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19" sqref="AN19"/>
    </sheetView>
  </sheetViews>
  <sheetFormatPr defaultColWidth="9.140625" defaultRowHeight="15"/>
  <cols>
    <col min="1" max="1" width="6.8515625" style="0" customWidth="1"/>
    <col min="2" max="2" width="94.00390625" style="0" customWidth="1"/>
    <col min="3" max="3" width="9.140625" style="0" customWidth="1"/>
    <col min="4" max="4" width="9.140625" style="22" customWidth="1"/>
    <col min="5" max="5" width="11.57421875" style="0" customWidth="1"/>
    <col min="6" max="6" width="9.00390625" style="0" customWidth="1"/>
    <col min="7" max="7" width="9.140625" style="22" customWidth="1"/>
    <col min="8" max="8" width="10.00390625" style="0" customWidth="1"/>
    <col min="9" max="9" width="8.00390625" style="0" customWidth="1"/>
    <col min="10" max="10" width="8.421875" style="0" customWidth="1"/>
    <col min="11" max="11" width="9.8515625" style="0" customWidth="1"/>
    <col min="12" max="12" width="8.28125" style="0" customWidth="1"/>
    <col min="13" max="13" width="7.57421875" style="0" customWidth="1"/>
    <col min="14" max="14" width="9.8515625" style="0" customWidth="1"/>
    <col min="15" max="15" width="8.28125" style="0" customWidth="1"/>
    <col min="16" max="16" width="7.8515625" style="0" customWidth="1"/>
    <col min="17" max="17" width="9.8515625" style="0" customWidth="1"/>
    <col min="18" max="18" width="10.57421875" style="0" customWidth="1"/>
    <col min="19" max="19" width="9.00390625" style="0" customWidth="1"/>
    <col min="20" max="20" width="10.00390625" style="0" customWidth="1"/>
    <col min="21" max="21" width="10.421875" style="0" customWidth="1"/>
    <col min="22" max="22" width="9.421875" style="0" bestFit="1" customWidth="1"/>
    <col min="23" max="23" width="9.421875" style="0" customWidth="1"/>
    <col min="24" max="24" width="11.57421875" style="0" customWidth="1"/>
    <col min="26" max="26" width="9.57421875" style="0" customWidth="1"/>
    <col min="27" max="27" width="11.140625" style="0" customWidth="1"/>
    <col min="28" max="28" width="8.421875" style="0" customWidth="1"/>
    <col min="29" max="29" width="7.8515625" style="0" customWidth="1"/>
    <col min="30" max="30" width="9.8515625" style="0" customWidth="1"/>
    <col min="31" max="31" width="8.00390625" style="0" customWidth="1"/>
    <col min="32" max="32" width="8.421875" style="0" customWidth="1"/>
    <col min="33" max="33" width="10.28125" style="0" customWidth="1"/>
    <col min="34" max="34" width="11.28125" style="0" customWidth="1"/>
    <col min="35" max="35" width="9.7109375" style="0" customWidth="1"/>
    <col min="36" max="36" width="9.8515625" style="0" customWidth="1"/>
    <col min="37" max="37" width="10.8515625" style="0" customWidth="1"/>
    <col min="38" max="38" width="9.421875" style="0" bestFit="1" customWidth="1"/>
    <col min="39" max="40" width="10.28125" style="0" customWidth="1"/>
    <col min="42" max="42" width="10.28125" style="0" customWidth="1"/>
    <col min="43" max="43" width="11.00390625" style="0" customWidth="1"/>
    <col min="50" max="50" width="11.140625" style="0" customWidth="1"/>
  </cols>
  <sheetData>
    <row r="1" spans="1:25" ht="30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18" ht="21" thickBot="1">
      <c r="A2" s="35"/>
      <c r="B2" s="36"/>
      <c r="C2" s="36"/>
      <c r="D2" s="37"/>
      <c r="E2" s="36"/>
      <c r="F2" s="36"/>
      <c r="G2" s="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50" s="127" customFormat="1" ht="20.25" customHeight="1">
      <c r="A3" s="683" t="s">
        <v>9</v>
      </c>
      <c r="B3" s="692" t="s">
        <v>10</v>
      </c>
      <c r="C3" s="685" t="s">
        <v>223</v>
      </c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7"/>
      <c r="S3" s="685" t="s">
        <v>224</v>
      </c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  <c r="AE3" s="686"/>
      <c r="AF3" s="686"/>
      <c r="AG3" s="686"/>
      <c r="AH3" s="687"/>
      <c r="AI3" s="696" t="s">
        <v>238</v>
      </c>
      <c r="AJ3" s="686"/>
      <c r="AK3" s="686"/>
      <c r="AL3" s="686"/>
      <c r="AM3" s="686"/>
      <c r="AN3" s="686"/>
      <c r="AO3" s="686"/>
      <c r="AP3" s="686"/>
      <c r="AQ3" s="686"/>
      <c r="AR3" s="686"/>
      <c r="AS3" s="686"/>
      <c r="AT3" s="686"/>
      <c r="AU3" s="686"/>
      <c r="AV3" s="686"/>
      <c r="AW3" s="686"/>
      <c r="AX3" s="687"/>
    </row>
    <row r="4" spans="1:50" s="127" customFormat="1" ht="42.75" customHeight="1">
      <c r="A4" s="684"/>
      <c r="B4" s="693"/>
      <c r="C4" s="689" t="s">
        <v>62</v>
      </c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4" t="s">
        <v>729</v>
      </c>
      <c r="S4" s="691" t="s">
        <v>62</v>
      </c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95" t="s">
        <v>730</v>
      </c>
      <c r="AI4" s="697" t="s">
        <v>62</v>
      </c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  <c r="AX4" s="698" t="s">
        <v>730</v>
      </c>
    </row>
    <row r="5" spans="1:50" s="127" customFormat="1" ht="37.5" customHeight="1">
      <c r="A5" s="684"/>
      <c r="B5" s="693"/>
      <c r="C5" s="689" t="s">
        <v>63</v>
      </c>
      <c r="D5" s="690"/>
      <c r="E5" s="690"/>
      <c r="F5" s="690" t="s">
        <v>64</v>
      </c>
      <c r="G5" s="690"/>
      <c r="H5" s="690"/>
      <c r="I5" s="690" t="s">
        <v>65</v>
      </c>
      <c r="J5" s="690"/>
      <c r="K5" s="690"/>
      <c r="L5" s="690" t="s">
        <v>66</v>
      </c>
      <c r="M5" s="690"/>
      <c r="N5" s="690"/>
      <c r="O5" s="690" t="s">
        <v>67</v>
      </c>
      <c r="P5" s="690"/>
      <c r="Q5" s="690"/>
      <c r="R5" s="694"/>
      <c r="S5" s="691" t="s">
        <v>63</v>
      </c>
      <c r="T5" s="688"/>
      <c r="U5" s="688"/>
      <c r="V5" s="688" t="s">
        <v>64</v>
      </c>
      <c r="W5" s="688"/>
      <c r="X5" s="688"/>
      <c r="Y5" s="688" t="s">
        <v>65</v>
      </c>
      <c r="Z5" s="688"/>
      <c r="AA5" s="688"/>
      <c r="AB5" s="688" t="s">
        <v>66</v>
      </c>
      <c r="AC5" s="688"/>
      <c r="AD5" s="688"/>
      <c r="AE5" s="688" t="s">
        <v>67</v>
      </c>
      <c r="AF5" s="688"/>
      <c r="AG5" s="688"/>
      <c r="AH5" s="695"/>
      <c r="AI5" s="697" t="s">
        <v>63</v>
      </c>
      <c r="AJ5" s="688"/>
      <c r="AK5" s="688"/>
      <c r="AL5" s="688" t="s">
        <v>64</v>
      </c>
      <c r="AM5" s="688"/>
      <c r="AN5" s="688"/>
      <c r="AO5" s="688" t="s">
        <v>65</v>
      </c>
      <c r="AP5" s="688"/>
      <c r="AQ5" s="688"/>
      <c r="AR5" s="688" t="s">
        <v>66</v>
      </c>
      <c r="AS5" s="688"/>
      <c r="AT5" s="688"/>
      <c r="AU5" s="688" t="s">
        <v>67</v>
      </c>
      <c r="AV5" s="688"/>
      <c r="AW5" s="688"/>
      <c r="AX5" s="699"/>
    </row>
    <row r="6" spans="1:50" s="127" customFormat="1" ht="131.25">
      <c r="A6" s="684"/>
      <c r="B6" s="693"/>
      <c r="C6" s="262">
        <v>2016</v>
      </c>
      <c r="D6" s="99">
        <v>2017</v>
      </c>
      <c r="E6" s="389" t="s">
        <v>68</v>
      </c>
      <c r="F6" s="99">
        <v>2016</v>
      </c>
      <c r="G6" s="99">
        <v>2017</v>
      </c>
      <c r="H6" s="389" t="s">
        <v>68</v>
      </c>
      <c r="I6" s="99">
        <v>2016</v>
      </c>
      <c r="J6" s="99">
        <v>2017</v>
      </c>
      <c r="K6" s="389" t="s">
        <v>68</v>
      </c>
      <c r="L6" s="99">
        <v>2016</v>
      </c>
      <c r="M6" s="99">
        <v>2017</v>
      </c>
      <c r="N6" s="389" t="s">
        <v>68</v>
      </c>
      <c r="O6" s="99">
        <v>2016</v>
      </c>
      <c r="P6" s="99">
        <v>2017</v>
      </c>
      <c r="Q6" s="389" t="s">
        <v>68</v>
      </c>
      <c r="R6" s="694"/>
      <c r="S6" s="390">
        <v>2016</v>
      </c>
      <c r="T6" s="99">
        <v>2017</v>
      </c>
      <c r="U6" s="389" t="s">
        <v>68</v>
      </c>
      <c r="V6" s="389">
        <v>2016</v>
      </c>
      <c r="W6" s="99">
        <v>2017</v>
      </c>
      <c r="X6" s="389" t="s">
        <v>68</v>
      </c>
      <c r="Y6" s="389">
        <v>2016</v>
      </c>
      <c r="Z6" s="99">
        <v>2017</v>
      </c>
      <c r="AA6" s="389" t="s">
        <v>68</v>
      </c>
      <c r="AB6" s="389">
        <v>2016</v>
      </c>
      <c r="AC6" s="99">
        <v>2017</v>
      </c>
      <c r="AD6" s="389" t="s">
        <v>68</v>
      </c>
      <c r="AE6" s="389">
        <v>2016</v>
      </c>
      <c r="AF6" s="99">
        <v>2017</v>
      </c>
      <c r="AG6" s="389" t="s">
        <v>68</v>
      </c>
      <c r="AH6" s="695"/>
      <c r="AI6" s="389">
        <v>2016</v>
      </c>
      <c r="AJ6" s="99">
        <v>2017</v>
      </c>
      <c r="AK6" s="389" t="s">
        <v>68</v>
      </c>
      <c r="AL6" s="389">
        <v>2016</v>
      </c>
      <c r="AM6" s="99">
        <v>2017</v>
      </c>
      <c r="AN6" s="389" t="s">
        <v>68</v>
      </c>
      <c r="AO6" s="389">
        <v>2016</v>
      </c>
      <c r="AP6" s="99">
        <v>2017</v>
      </c>
      <c r="AQ6" s="389" t="s">
        <v>68</v>
      </c>
      <c r="AR6" s="389">
        <v>2016</v>
      </c>
      <c r="AS6" s="99">
        <v>2017</v>
      </c>
      <c r="AT6" s="389" t="s">
        <v>68</v>
      </c>
      <c r="AU6" s="389">
        <v>2016</v>
      </c>
      <c r="AV6" s="99">
        <v>2017</v>
      </c>
      <c r="AW6" s="389" t="s">
        <v>68</v>
      </c>
      <c r="AX6" s="700"/>
    </row>
    <row r="7" spans="1:50" ht="18.75">
      <c r="A7" s="47">
        <v>1</v>
      </c>
      <c r="B7" s="50">
        <v>2</v>
      </c>
      <c r="C7" s="363">
        <v>3</v>
      </c>
      <c r="D7" s="362">
        <v>4</v>
      </c>
      <c r="E7" s="362">
        <v>5</v>
      </c>
      <c r="F7" s="362">
        <v>6</v>
      </c>
      <c r="G7" s="362">
        <v>7</v>
      </c>
      <c r="H7" s="362">
        <v>8</v>
      </c>
      <c r="I7" s="362">
        <v>9</v>
      </c>
      <c r="J7" s="362">
        <v>10</v>
      </c>
      <c r="K7" s="362">
        <v>11</v>
      </c>
      <c r="L7" s="362">
        <v>12</v>
      </c>
      <c r="M7" s="362">
        <v>13</v>
      </c>
      <c r="N7" s="362">
        <v>14</v>
      </c>
      <c r="O7" s="362">
        <v>15</v>
      </c>
      <c r="P7" s="362">
        <v>16</v>
      </c>
      <c r="Q7" s="362">
        <v>17</v>
      </c>
      <c r="R7" s="51">
        <v>18</v>
      </c>
      <c r="S7" s="381">
        <v>20</v>
      </c>
      <c r="T7" s="361">
        <v>20</v>
      </c>
      <c r="U7" s="361">
        <v>21</v>
      </c>
      <c r="V7" s="361">
        <v>23</v>
      </c>
      <c r="W7" s="361">
        <v>23</v>
      </c>
      <c r="X7" s="361">
        <v>24</v>
      </c>
      <c r="Y7" s="361">
        <v>26</v>
      </c>
      <c r="Z7" s="361">
        <v>26</v>
      </c>
      <c r="AA7" s="361">
        <v>27</v>
      </c>
      <c r="AB7" s="361">
        <v>28</v>
      </c>
      <c r="AC7" s="361">
        <v>29</v>
      </c>
      <c r="AD7" s="361">
        <v>30</v>
      </c>
      <c r="AE7" s="361">
        <v>31</v>
      </c>
      <c r="AF7" s="361">
        <v>32</v>
      </c>
      <c r="AG7" s="361">
        <v>33</v>
      </c>
      <c r="AH7" s="52">
        <v>34</v>
      </c>
      <c r="AI7" s="48">
        <v>19</v>
      </c>
      <c r="AJ7" s="49">
        <v>20</v>
      </c>
      <c r="AK7" s="49">
        <v>21</v>
      </c>
      <c r="AL7" s="49">
        <v>22</v>
      </c>
      <c r="AM7" s="49">
        <v>23</v>
      </c>
      <c r="AN7" s="49">
        <v>24</v>
      </c>
      <c r="AO7" s="49">
        <v>25</v>
      </c>
      <c r="AP7" s="49">
        <v>26</v>
      </c>
      <c r="AQ7" s="49">
        <v>27</v>
      </c>
      <c r="AR7" s="49">
        <v>28</v>
      </c>
      <c r="AS7" s="49">
        <v>29</v>
      </c>
      <c r="AT7" s="49">
        <v>30</v>
      </c>
      <c r="AU7" s="49">
        <v>31</v>
      </c>
      <c r="AV7" s="49">
        <v>32</v>
      </c>
      <c r="AW7" s="49">
        <v>33</v>
      </c>
      <c r="AX7" s="52">
        <v>34</v>
      </c>
    </row>
    <row r="8" spans="1:50" ht="40.5" customHeight="1">
      <c r="A8" s="40">
        <v>1</v>
      </c>
      <c r="B8" s="43" t="s">
        <v>69</v>
      </c>
      <c r="C8" s="379">
        <v>51</v>
      </c>
      <c r="D8" s="260">
        <v>29</v>
      </c>
      <c r="E8" s="63">
        <f>D8/C8</f>
        <v>0.5686274509803921</v>
      </c>
      <c r="F8" s="56">
        <v>9</v>
      </c>
      <c r="G8" s="260">
        <v>10</v>
      </c>
      <c r="H8" s="64">
        <f>G8/F8</f>
        <v>1.1111111111111112</v>
      </c>
      <c r="I8" s="55">
        <v>1</v>
      </c>
      <c r="J8" s="260">
        <v>2</v>
      </c>
      <c r="K8" s="64">
        <f>J8/I8</f>
        <v>2</v>
      </c>
      <c r="L8" s="55"/>
      <c r="M8" s="55"/>
      <c r="N8" s="55"/>
      <c r="O8" s="55"/>
      <c r="P8" s="55"/>
      <c r="Q8" s="55"/>
      <c r="R8" s="57">
        <f>D8+G8+J8+M8+P8</f>
        <v>41</v>
      </c>
      <c r="S8" s="382">
        <v>25</v>
      </c>
      <c r="T8" s="417">
        <v>38</v>
      </c>
      <c r="U8" s="65">
        <f>T8/S8</f>
        <v>1.52</v>
      </c>
      <c r="V8" s="58">
        <v>7</v>
      </c>
      <c r="W8" s="269">
        <v>5</v>
      </c>
      <c r="X8" s="65">
        <f>W8/V8</f>
        <v>0.7142857142857143</v>
      </c>
      <c r="Y8" s="58">
        <v>0</v>
      </c>
      <c r="Z8" s="269">
        <v>0</v>
      </c>
      <c r="AA8" s="65"/>
      <c r="AB8" s="58"/>
      <c r="AC8" s="58"/>
      <c r="AD8" s="58"/>
      <c r="AE8" s="58"/>
      <c r="AF8" s="58"/>
      <c r="AG8" s="58"/>
      <c r="AH8" s="57">
        <f>T8+W8+Z8+AC8+AF8</f>
        <v>43</v>
      </c>
      <c r="AI8" s="59">
        <f aca="true" t="shared" si="0" ref="AI8:AJ12">C8+S8</f>
        <v>76</v>
      </c>
      <c r="AJ8" s="59">
        <f t="shared" si="0"/>
        <v>67</v>
      </c>
      <c r="AK8" s="66">
        <f>AJ8/AI8</f>
        <v>0.881578947368421</v>
      </c>
      <c r="AL8" s="59">
        <f>F8+V8</f>
        <v>16</v>
      </c>
      <c r="AM8" s="59">
        <f>G8+W8</f>
        <v>15</v>
      </c>
      <c r="AN8" s="66">
        <f>AM8/AL8</f>
        <v>0.9375</v>
      </c>
      <c r="AO8" s="59">
        <f>I8+Y8</f>
        <v>1</v>
      </c>
      <c r="AP8" s="59">
        <f>J8+Z8</f>
        <v>2</v>
      </c>
      <c r="AQ8" s="66">
        <f>AP8/AO8</f>
        <v>2</v>
      </c>
      <c r="AR8" s="59">
        <f>L8+AB8</f>
        <v>0</v>
      </c>
      <c r="AS8" s="59">
        <f>M8+AC8</f>
        <v>0</v>
      </c>
      <c r="AT8" s="60"/>
      <c r="AU8" s="59">
        <f>O8+AE8</f>
        <v>0</v>
      </c>
      <c r="AV8" s="59">
        <f>P8+AF8</f>
        <v>0</v>
      </c>
      <c r="AW8" s="60"/>
      <c r="AX8" s="57">
        <f>AJ8+AM8+AP8+AS8+AV8</f>
        <v>84</v>
      </c>
    </row>
    <row r="9" spans="1:50" ht="60.75" customHeight="1">
      <c r="A9" s="40">
        <v>2</v>
      </c>
      <c r="B9" s="44" t="s">
        <v>188</v>
      </c>
      <c r="C9" s="379">
        <v>51</v>
      </c>
      <c r="D9" s="260">
        <v>29</v>
      </c>
      <c r="E9" s="63">
        <f>D9/C9</f>
        <v>0.5686274509803921</v>
      </c>
      <c r="F9" s="56">
        <v>9</v>
      </c>
      <c r="G9" s="260">
        <v>10</v>
      </c>
      <c r="H9" s="64">
        <f>G9/F9</f>
        <v>1.1111111111111112</v>
      </c>
      <c r="I9" s="55">
        <v>1</v>
      </c>
      <c r="J9" s="260">
        <v>0</v>
      </c>
      <c r="K9" s="64">
        <f>J9/I9</f>
        <v>0</v>
      </c>
      <c r="L9" s="55"/>
      <c r="M9" s="55"/>
      <c r="N9" s="55"/>
      <c r="O9" s="55"/>
      <c r="P9" s="55"/>
      <c r="Q9" s="55"/>
      <c r="R9" s="57">
        <f>D9+G9+J9+M9+P9</f>
        <v>39</v>
      </c>
      <c r="S9" s="382">
        <v>25</v>
      </c>
      <c r="T9" s="417">
        <v>38</v>
      </c>
      <c r="U9" s="65">
        <f>T9/S9</f>
        <v>1.52</v>
      </c>
      <c r="V9" s="58">
        <v>7</v>
      </c>
      <c r="W9" s="269">
        <v>5</v>
      </c>
      <c r="X9" s="65">
        <f>W9/V9</f>
        <v>0.7142857142857143</v>
      </c>
      <c r="Y9" s="58">
        <v>0</v>
      </c>
      <c r="Z9" s="269">
        <v>0</v>
      </c>
      <c r="AA9" s="65"/>
      <c r="AB9" s="58"/>
      <c r="AC9" s="58"/>
      <c r="AD9" s="58"/>
      <c r="AE9" s="58"/>
      <c r="AF9" s="58"/>
      <c r="AG9" s="58"/>
      <c r="AH9" s="57">
        <f>T9+W9+Z9+AC9+AF9</f>
        <v>43</v>
      </c>
      <c r="AI9" s="59">
        <f t="shared" si="0"/>
        <v>76</v>
      </c>
      <c r="AJ9" s="59">
        <f t="shared" si="0"/>
        <v>67</v>
      </c>
      <c r="AK9" s="66">
        <f>AJ9/AI9</f>
        <v>0.881578947368421</v>
      </c>
      <c r="AL9" s="59">
        <f>F9+V9</f>
        <v>16</v>
      </c>
      <c r="AM9" s="59">
        <f>G9+W9</f>
        <v>15</v>
      </c>
      <c r="AN9" s="66">
        <f>AM9/AL9</f>
        <v>0.9375</v>
      </c>
      <c r="AO9" s="59">
        <f>I9+Y9</f>
        <v>1</v>
      </c>
      <c r="AP9" s="59">
        <f>J9+Z9</f>
        <v>0</v>
      </c>
      <c r="AQ9" s="66">
        <f>AP9/AO9</f>
        <v>0</v>
      </c>
      <c r="AR9" s="59">
        <f aca="true" t="shared" si="1" ref="AR9:AR18">L9+AB9</f>
        <v>0</v>
      </c>
      <c r="AS9" s="59">
        <f>M9+AC9</f>
        <v>0</v>
      </c>
      <c r="AT9" s="60"/>
      <c r="AU9" s="59">
        <f aca="true" t="shared" si="2" ref="AU9:AU18">O9+AE9</f>
        <v>0</v>
      </c>
      <c r="AV9" s="59">
        <f>P9+AF9</f>
        <v>0</v>
      </c>
      <c r="AW9" s="60"/>
      <c r="AX9" s="57">
        <f>AJ9+AM9+AP9+AS9+AV9</f>
        <v>82</v>
      </c>
    </row>
    <row r="10" spans="1:50" ht="106.5" customHeight="1">
      <c r="A10" s="40">
        <v>3</v>
      </c>
      <c r="B10" s="44" t="s">
        <v>189</v>
      </c>
      <c r="C10" s="379"/>
      <c r="D10" s="260"/>
      <c r="E10" s="63"/>
      <c r="F10" s="56"/>
      <c r="G10" s="260"/>
      <c r="H10" s="64"/>
      <c r="I10" s="55"/>
      <c r="J10" s="264"/>
      <c r="K10" s="55"/>
      <c r="L10" s="55"/>
      <c r="M10" s="55"/>
      <c r="N10" s="55"/>
      <c r="O10" s="55"/>
      <c r="P10" s="55"/>
      <c r="Q10" s="55"/>
      <c r="R10" s="57">
        <f aca="true" t="shared" si="3" ref="R10:R18">D10+G10+J10+M10+P10</f>
        <v>0</v>
      </c>
      <c r="S10" s="382"/>
      <c r="T10" s="417"/>
      <c r="U10" s="65"/>
      <c r="V10" s="58"/>
      <c r="W10" s="269"/>
      <c r="X10" s="65"/>
      <c r="Y10" s="58"/>
      <c r="Z10" s="269"/>
      <c r="AA10" s="65"/>
      <c r="AB10" s="58"/>
      <c r="AC10" s="58"/>
      <c r="AD10" s="58"/>
      <c r="AE10" s="58"/>
      <c r="AF10" s="58"/>
      <c r="AG10" s="58"/>
      <c r="AH10" s="57">
        <f>T10+W10+Z10+AC10+AF10</f>
        <v>0</v>
      </c>
      <c r="AI10" s="59">
        <f t="shared" si="0"/>
        <v>0</v>
      </c>
      <c r="AJ10" s="59">
        <f t="shared" si="0"/>
        <v>0</v>
      </c>
      <c r="AK10" s="66"/>
      <c r="AL10" s="59">
        <f aca="true" t="shared" si="4" ref="AL10:AL18">F10+V10</f>
        <v>0</v>
      </c>
      <c r="AM10" s="59">
        <f>G10+W10</f>
        <v>0</v>
      </c>
      <c r="AN10" s="66"/>
      <c r="AO10" s="59">
        <f aca="true" t="shared" si="5" ref="AO10:AO18">I10+Y10</f>
        <v>0</v>
      </c>
      <c r="AP10" s="59">
        <f>J10+Z10</f>
        <v>0</v>
      </c>
      <c r="AQ10" s="66"/>
      <c r="AR10" s="59">
        <f t="shared" si="1"/>
        <v>0</v>
      </c>
      <c r="AS10" s="59">
        <f>M10+AC10</f>
        <v>0</v>
      </c>
      <c r="AT10" s="60"/>
      <c r="AU10" s="59">
        <f t="shared" si="2"/>
        <v>0</v>
      </c>
      <c r="AV10" s="59">
        <f>P10+AF10</f>
        <v>0</v>
      </c>
      <c r="AW10" s="60"/>
      <c r="AX10" s="57">
        <f>AJ10+AM10+AP10+AS10+AV10</f>
        <v>0</v>
      </c>
    </row>
    <row r="11" spans="1:50" ht="27" customHeight="1">
      <c r="A11" s="41" t="s">
        <v>35</v>
      </c>
      <c r="B11" s="45" t="s">
        <v>70</v>
      </c>
      <c r="C11" s="379"/>
      <c r="D11" s="260"/>
      <c r="E11" s="63"/>
      <c r="F11" s="56"/>
      <c r="G11" s="260"/>
      <c r="H11" s="64"/>
      <c r="I11" s="56"/>
      <c r="J11" s="264"/>
      <c r="K11" s="55"/>
      <c r="L11" s="55"/>
      <c r="M11" s="55"/>
      <c r="N11" s="55"/>
      <c r="O11" s="55"/>
      <c r="P11" s="55"/>
      <c r="Q11" s="55"/>
      <c r="R11" s="57">
        <f t="shared" si="3"/>
        <v>0</v>
      </c>
      <c r="S11" s="382"/>
      <c r="T11" s="417"/>
      <c r="U11" s="65"/>
      <c r="V11" s="58"/>
      <c r="W11" s="269"/>
      <c r="X11" s="65"/>
      <c r="Y11" s="58"/>
      <c r="Z11" s="269"/>
      <c r="AA11" s="65"/>
      <c r="AB11" s="58"/>
      <c r="AC11" s="58"/>
      <c r="AD11" s="58"/>
      <c r="AE11" s="58"/>
      <c r="AF11" s="58"/>
      <c r="AG11" s="58"/>
      <c r="AH11" s="57">
        <f>T11+W11+Z11+AC11+AF11</f>
        <v>0</v>
      </c>
      <c r="AI11" s="59">
        <f t="shared" si="0"/>
        <v>0</v>
      </c>
      <c r="AJ11" s="59">
        <f t="shared" si="0"/>
        <v>0</v>
      </c>
      <c r="AK11" s="66"/>
      <c r="AL11" s="59">
        <f t="shared" si="4"/>
        <v>0</v>
      </c>
      <c r="AM11" s="59">
        <f>G11+W11</f>
        <v>0</v>
      </c>
      <c r="AN11" s="66"/>
      <c r="AO11" s="59">
        <f t="shared" si="5"/>
        <v>0</v>
      </c>
      <c r="AP11" s="59">
        <f>J11+Z11</f>
        <v>0</v>
      </c>
      <c r="AQ11" s="66"/>
      <c r="AR11" s="59">
        <f t="shared" si="1"/>
        <v>0</v>
      </c>
      <c r="AS11" s="59">
        <f>M11+AC11</f>
        <v>0</v>
      </c>
      <c r="AT11" s="60"/>
      <c r="AU11" s="59">
        <f t="shared" si="2"/>
        <v>0</v>
      </c>
      <c r="AV11" s="59">
        <f>P11+AF11</f>
        <v>0</v>
      </c>
      <c r="AW11" s="60"/>
      <c r="AX11" s="57">
        <f>AJ11+AM11+AP11+AS11+AV11</f>
        <v>0</v>
      </c>
    </row>
    <row r="12" spans="1:50" ht="23.25">
      <c r="A12" s="41" t="s">
        <v>36</v>
      </c>
      <c r="B12" s="45" t="s">
        <v>71</v>
      </c>
      <c r="C12" s="379"/>
      <c r="D12" s="260"/>
      <c r="E12" s="63"/>
      <c r="F12" s="56"/>
      <c r="G12" s="260"/>
      <c r="H12" s="64"/>
      <c r="I12" s="56"/>
      <c r="J12" s="264"/>
      <c r="K12" s="55"/>
      <c r="L12" s="55"/>
      <c r="M12" s="55"/>
      <c r="N12" s="55"/>
      <c r="O12" s="55"/>
      <c r="P12" s="55"/>
      <c r="Q12" s="55"/>
      <c r="R12" s="57">
        <f t="shared" si="3"/>
        <v>0</v>
      </c>
      <c r="S12" s="382"/>
      <c r="T12" s="417"/>
      <c r="U12" s="65"/>
      <c r="V12" s="58"/>
      <c r="W12" s="269"/>
      <c r="X12" s="65"/>
      <c r="Y12" s="58"/>
      <c r="Z12" s="269"/>
      <c r="AA12" s="65"/>
      <c r="AB12" s="58"/>
      <c r="AC12" s="58"/>
      <c r="AD12" s="58"/>
      <c r="AE12" s="58"/>
      <c r="AF12" s="58"/>
      <c r="AG12" s="58"/>
      <c r="AH12" s="57">
        <f>T12+W12+Z12+AC12+AF12</f>
        <v>0</v>
      </c>
      <c r="AI12" s="59">
        <f t="shared" si="0"/>
        <v>0</v>
      </c>
      <c r="AJ12" s="59">
        <f t="shared" si="0"/>
        <v>0</v>
      </c>
      <c r="AK12" s="66"/>
      <c r="AL12" s="59">
        <f t="shared" si="4"/>
        <v>0</v>
      </c>
      <c r="AM12" s="59">
        <f>G12+W12</f>
        <v>0</v>
      </c>
      <c r="AN12" s="66"/>
      <c r="AO12" s="59">
        <f t="shared" si="5"/>
        <v>0</v>
      </c>
      <c r="AP12" s="59">
        <f>J12+Z12</f>
        <v>0</v>
      </c>
      <c r="AQ12" s="66"/>
      <c r="AR12" s="59">
        <f t="shared" si="1"/>
        <v>0</v>
      </c>
      <c r="AS12" s="59">
        <f>M12+AC12</f>
        <v>0</v>
      </c>
      <c r="AT12" s="60"/>
      <c r="AU12" s="59">
        <f t="shared" si="2"/>
        <v>0</v>
      </c>
      <c r="AV12" s="59">
        <f>P12+AF12</f>
        <v>0</v>
      </c>
      <c r="AW12" s="60"/>
      <c r="AX12" s="57">
        <f>AJ12+AM12+AP12+AS12+AV12</f>
        <v>0</v>
      </c>
    </row>
    <row r="13" spans="1:50" ht="78.75" customHeight="1">
      <c r="A13" s="40">
        <v>4</v>
      </c>
      <c r="B13" s="44" t="s">
        <v>190</v>
      </c>
      <c r="C13" s="379">
        <v>10</v>
      </c>
      <c r="D13" s="260">
        <v>8</v>
      </c>
      <c r="E13" s="63">
        <f>D13/C13</f>
        <v>0.8</v>
      </c>
      <c r="F13" s="56">
        <v>10</v>
      </c>
      <c r="G13" s="260">
        <v>8</v>
      </c>
      <c r="H13" s="64">
        <f>G13/F13</f>
        <v>0.8</v>
      </c>
      <c r="I13" s="55"/>
      <c r="J13" s="264"/>
      <c r="K13" s="55"/>
      <c r="L13" s="55"/>
      <c r="M13" s="55"/>
      <c r="N13" s="55"/>
      <c r="O13" s="55"/>
      <c r="P13" s="55"/>
      <c r="Q13" s="55"/>
      <c r="R13" s="415">
        <f>((D13*D9)+(G13*G9))/(D9+G9)</f>
        <v>8</v>
      </c>
      <c r="S13" s="382">
        <v>10</v>
      </c>
      <c r="T13" s="417">
        <v>5</v>
      </c>
      <c r="U13" s="65">
        <f>T13/S13</f>
        <v>0.5</v>
      </c>
      <c r="V13" s="58">
        <v>7</v>
      </c>
      <c r="W13" s="269">
        <v>5</v>
      </c>
      <c r="X13" s="65">
        <f>W13/V13</f>
        <v>0.7142857142857143</v>
      </c>
      <c r="Y13" s="58">
        <v>15</v>
      </c>
      <c r="Z13" s="269">
        <v>0</v>
      </c>
      <c r="AA13" s="65">
        <f>Z13/Y13</f>
        <v>0</v>
      </c>
      <c r="AB13" s="58"/>
      <c r="AC13" s="58"/>
      <c r="AD13" s="58"/>
      <c r="AE13" s="58"/>
      <c r="AF13" s="58"/>
      <c r="AG13" s="58"/>
      <c r="AH13" s="415">
        <f>((T13*T9)+(W13*W9)+(Z13*Z9))/(T9+W9+Z9)</f>
        <v>5</v>
      </c>
      <c r="AI13" s="423">
        <f>((C13*C9)+(S13*S9))/(C9+S9)</f>
        <v>10</v>
      </c>
      <c r="AJ13" s="423">
        <f>((D13*D9)+(T13*T9))/(D9+T9)</f>
        <v>6.298507462686567</v>
      </c>
      <c r="AK13" s="66">
        <f>AJ13/AI13</f>
        <v>0.6298507462686567</v>
      </c>
      <c r="AL13" s="423">
        <f>((F13*F9)+(V13*V9))/(F9+V9)</f>
        <v>8.6875</v>
      </c>
      <c r="AM13" s="423">
        <f>((G13*G9)+(W13*W9))/(G9+W9)</f>
        <v>7</v>
      </c>
      <c r="AN13" s="66">
        <f>AM13/AL13</f>
        <v>0.8057553956834532</v>
      </c>
      <c r="AO13" s="423">
        <f>((I13*I9)+(Y13*Y9))/(I9+Y9)</f>
        <v>0</v>
      </c>
      <c r="AP13" s="422" t="e">
        <f>((J13*J9)+(Z13*Z9))/(J9+Z9)</f>
        <v>#DIV/0!</v>
      </c>
      <c r="AQ13" s="66"/>
      <c r="AR13" s="59">
        <f t="shared" si="1"/>
        <v>0</v>
      </c>
      <c r="AS13" s="59">
        <f aca="true" t="shared" si="6" ref="AS13:AS18">M13+AC13</f>
        <v>0</v>
      </c>
      <c r="AT13" s="60"/>
      <c r="AU13" s="59">
        <f t="shared" si="2"/>
        <v>0</v>
      </c>
      <c r="AV13" s="59">
        <f aca="true" t="shared" si="7" ref="AV13:AV18">P13+AF13</f>
        <v>0</v>
      </c>
      <c r="AW13" s="60"/>
      <c r="AX13" s="98">
        <f>((R13*R9)+(AH13*AH9))/(R9+AH9)</f>
        <v>6.426829268292683</v>
      </c>
    </row>
    <row r="14" spans="1:50" ht="54.75" customHeight="1">
      <c r="A14" s="40">
        <v>5</v>
      </c>
      <c r="B14" s="44" t="s">
        <v>72</v>
      </c>
      <c r="C14" s="379">
        <v>42</v>
      </c>
      <c r="D14" s="260">
        <v>28</v>
      </c>
      <c r="E14" s="63">
        <f>D14/C14</f>
        <v>0.6666666666666666</v>
      </c>
      <c r="F14" s="56">
        <v>6</v>
      </c>
      <c r="G14" s="260">
        <v>7</v>
      </c>
      <c r="H14" s="64">
        <f>G14/F14</f>
        <v>1.1666666666666667</v>
      </c>
      <c r="I14" s="55"/>
      <c r="J14" s="264"/>
      <c r="K14" s="55"/>
      <c r="L14" s="55"/>
      <c r="M14" s="55"/>
      <c r="N14" s="55"/>
      <c r="O14" s="55"/>
      <c r="P14" s="55"/>
      <c r="Q14" s="55"/>
      <c r="R14" s="57">
        <f>D14+G14+J14+M14+P14</f>
        <v>35</v>
      </c>
      <c r="S14" s="382">
        <v>25</v>
      </c>
      <c r="T14" s="417">
        <v>36</v>
      </c>
      <c r="U14" s="65">
        <f>T14/S14</f>
        <v>1.44</v>
      </c>
      <c r="V14" s="58">
        <v>7</v>
      </c>
      <c r="W14" s="269">
        <v>5</v>
      </c>
      <c r="X14" s="65">
        <f>W14/V14</f>
        <v>0.7142857142857143</v>
      </c>
      <c r="Y14" s="58">
        <v>2</v>
      </c>
      <c r="Z14" s="269">
        <v>0</v>
      </c>
      <c r="AA14" s="65">
        <f>Z14/Y14</f>
        <v>0</v>
      </c>
      <c r="AB14" s="58"/>
      <c r="AC14" s="58"/>
      <c r="AD14" s="58"/>
      <c r="AE14" s="58"/>
      <c r="AF14" s="58"/>
      <c r="AG14" s="58"/>
      <c r="AH14" s="57">
        <f>T14+W14+Z14+AC14+AF14</f>
        <v>41</v>
      </c>
      <c r="AI14" s="59">
        <f aca="true" t="shared" si="8" ref="AI14:AJ18">C14+S14</f>
        <v>67</v>
      </c>
      <c r="AJ14" s="59">
        <f t="shared" si="8"/>
        <v>64</v>
      </c>
      <c r="AK14" s="66">
        <f>AJ14/AI14</f>
        <v>0.9552238805970149</v>
      </c>
      <c r="AL14" s="59">
        <f t="shared" si="4"/>
        <v>13</v>
      </c>
      <c r="AM14" s="59">
        <f>G14+W14</f>
        <v>12</v>
      </c>
      <c r="AN14" s="66">
        <f>AM14/AL14</f>
        <v>0.9230769230769231</v>
      </c>
      <c r="AO14" s="59">
        <f t="shared" si="5"/>
        <v>2</v>
      </c>
      <c r="AP14" s="59">
        <f>J14+Z14</f>
        <v>0</v>
      </c>
      <c r="AQ14" s="66">
        <f>AP14/AO14</f>
        <v>0</v>
      </c>
      <c r="AR14" s="59">
        <f t="shared" si="1"/>
        <v>0</v>
      </c>
      <c r="AS14" s="59">
        <f t="shared" si="6"/>
        <v>0</v>
      </c>
      <c r="AT14" s="60"/>
      <c r="AU14" s="59">
        <f t="shared" si="2"/>
        <v>0</v>
      </c>
      <c r="AV14" s="59">
        <f t="shared" si="7"/>
        <v>0</v>
      </c>
      <c r="AW14" s="60"/>
      <c r="AX14" s="57">
        <f>AJ14+AM14+AP14+AS14+AV14</f>
        <v>76</v>
      </c>
    </row>
    <row r="15" spans="1:50" ht="52.5" customHeight="1">
      <c r="A15" s="40">
        <v>6</v>
      </c>
      <c r="B15" s="44" t="s">
        <v>73</v>
      </c>
      <c r="C15" s="379">
        <v>25</v>
      </c>
      <c r="D15" s="260">
        <v>32</v>
      </c>
      <c r="E15" s="63">
        <f>D15/C15</f>
        <v>1.28</v>
      </c>
      <c r="F15" s="56">
        <v>4</v>
      </c>
      <c r="G15" s="260">
        <v>5</v>
      </c>
      <c r="H15" s="64">
        <f>G15/F15</f>
        <v>1.25</v>
      </c>
      <c r="I15" s="55"/>
      <c r="J15" s="260"/>
      <c r="K15" s="55"/>
      <c r="L15" s="55"/>
      <c r="M15" s="55"/>
      <c r="N15" s="55"/>
      <c r="O15" s="55"/>
      <c r="P15" s="55"/>
      <c r="Q15" s="55"/>
      <c r="R15" s="57">
        <f>D15+G15+J15+M15+P15</f>
        <v>37</v>
      </c>
      <c r="S15" s="382">
        <v>30</v>
      </c>
      <c r="T15" s="417">
        <v>30</v>
      </c>
      <c r="U15" s="65">
        <f>T15/S15</f>
        <v>1</v>
      </c>
      <c r="V15" s="58">
        <v>9</v>
      </c>
      <c r="W15" s="269">
        <v>4</v>
      </c>
      <c r="X15" s="65">
        <f>W15/V15</f>
        <v>0.4444444444444444</v>
      </c>
      <c r="Y15" s="58">
        <v>0</v>
      </c>
      <c r="Z15" s="269">
        <v>0</v>
      </c>
      <c r="AA15" s="65"/>
      <c r="AB15" s="58"/>
      <c r="AC15" s="58"/>
      <c r="AD15" s="58"/>
      <c r="AE15" s="58"/>
      <c r="AF15" s="58"/>
      <c r="AG15" s="58"/>
      <c r="AH15" s="57">
        <f>T15+W15+Z15+AC15+AF15</f>
        <v>34</v>
      </c>
      <c r="AI15" s="59">
        <f t="shared" si="8"/>
        <v>55</v>
      </c>
      <c r="AJ15" s="59">
        <f t="shared" si="8"/>
        <v>62</v>
      </c>
      <c r="AK15" s="66">
        <f>AJ15/AI15</f>
        <v>1.1272727272727272</v>
      </c>
      <c r="AL15" s="59">
        <f t="shared" si="4"/>
        <v>13</v>
      </c>
      <c r="AM15" s="59">
        <f>G15+W15</f>
        <v>9</v>
      </c>
      <c r="AN15" s="66">
        <f>AM15/AL15</f>
        <v>0.6923076923076923</v>
      </c>
      <c r="AO15" s="59">
        <f t="shared" si="5"/>
        <v>0</v>
      </c>
      <c r="AP15" s="59">
        <f>J15+Z15</f>
        <v>0</v>
      </c>
      <c r="AQ15" s="66"/>
      <c r="AR15" s="59">
        <f t="shared" si="1"/>
        <v>0</v>
      </c>
      <c r="AS15" s="59">
        <f t="shared" si="6"/>
        <v>0</v>
      </c>
      <c r="AT15" s="60"/>
      <c r="AU15" s="59">
        <f t="shared" si="2"/>
        <v>0</v>
      </c>
      <c r="AV15" s="59">
        <f t="shared" si="7"/>
        <v>0</v>
      </c>
      <c r="AW15" s="60"/>
      <c r="AX15" s="57">
        <f>AJ15+AM15+AP15+AS15+AV15</f>
        <v>71</v>
      </c>
    </row>
    <row r="16" spans="1:50" ht="111" customHeight="1">
      <c r="A16" s="40">
        <v>7</v>
      </c>
      <c r="B16" s="44" t="s">
        <v>191</v>
      </c>
      <c r="C16" s="379"/>
      <c r="D16" s="260"/>
      <c r="E16" s="63"/>
      <c r="F16" s="56"/>
      <c r="G16" s="260"/>
      <c r="H16" s="64"/>
      <c r="I16" s="55"/>
      <c r="J16" s="264"/>
      <c r="K16" s="55"/>
      <c r="L16" s="55"/>
      <c r="M16" s="55"/>
      <c r="N16" s="55"/>
      <c r="O16" s="55"/>
      <c r="P16" s="55"/>
      <c r="Q16" s="55"/>
      <c r="R16" s="57">
        <f t="shared" si="3"/>
        <v>0</v>
      </c>
      <c r="S16" s="382"/>
      <c r="T16" s="417"/>
      <c r="U16" s="65"/>
      <c r="V16" s="58"/>
      <c r="W16" s="269"/>
      <c r="X16" s="65"/>
      <c r="Y16" s="58"/>
      <c r="Z16" s="269"/>
      <c r="AA16" s="65"/>
      <c r="AB16" s="58"/>
      <c r="AC16" s="58"/>
      <c r="AD16" s="58"/>
      <c r="AE16" s="58"/>
      <c r="AF16" s="58"/>
      <c r="AG16" s="58"/>
      <c r="AH16" s="57">
        <f>T16+W16+Z16+AC16+AF16</f>
        <v>0</v>
      </c>
      <c r="AI16" s="59">
        <f t="shared" si="8"/>
        <v>0</v>
      </c>
      <c r="AJ16" s="59">
        <f t="shared" si="8"/>
        <v>0</v>
      </c>
      <c r="AK16" s="66"/>
      <c r="AL16" s="59">
        <f t="shared" si="4"/>
        <v>0</v>
      </c>
      <c r="AM16" s="59">
        <f>G16+W16</f>
        <v>0</v>
      </c>
      <c r="AN16" s="66"/>
      <c r="AO16" s="59">
        <f t="shared" si="5"/>
        <v>0</v>
      </c>
      <c r="AP16" s="59">
        <f>J16+Z16</f>
        <v>0</v>
      </c>
      <c r="AQ16" s="66"/>
      <c r="AR16" s="59">
        <f t="shared" si="1"/>
        <v>0</v>
      </c>
      <c r="AS16" s="59">
        <f t="shared" si="6"/>
        <v>0</v>
      </c>
      <c r="AT16" s="60">
        <v>0</v>
      </c>
      <c r="AU16" s="59">
        <f t="shared" si="2"/>
        <v>0</v>
      </c>
      <c r="AV16" s="59">
        <f t="shared" si="7"/>
        <v>0</v>
      </c>
      <c r="AW16" s="60">
        <v>0</v>
      </c>
      <c r="AX16" s="57">
        <f>AJ16+AM16+AP16+AS16+AV16</f>
        <v>0</v>
      </c>
    </row>
    <row r="17" spans="1:50" ht="23.25">
      <c r="A17" s="41" t="s">
        <v>77</v>
      </c>
      <c r="B17" s="44" t="s">
        <v>70</v>
      </c>
      <c r="C17" s="379"/>
      <c r="D17" s="260"/>
      <c r="E17" s="63"/>
      <c r="F17" s="56"/>
      <c r="G17" s="260"/>
      <c r="H17" s="64"/>
      <c r="I17" s="55"/>
      <c r="J17" s="264"/>
      <c r="K17" s="55"/>
      <c r="L17" s="55"/>
      <c r="M17" s="55"/>
      <c r="N17" s="55"/>
      <c r="O17" s="55"/>
      <c r="P17" s="55"/>
      <c r="Q17" s="55"/>
      <c r="R17" s="57">
        <f t="shared" si="3"/>
        <v>0</v>
      </c>
      <c r="S17" s="382"/>
      <c r="T17" s="417"/>
      <c r="U17" s="65"/>
      <c r="V17" s="58"/>
      <c r="W17" s="269"/>
      <c r="X17" s="65"/>
      <c r="Y17" s="58"/>
      <c r="Z17" s="269"/>
      <c r="AA17" s="65"/>
      <c r="AB17" s="58"/>
      <c r="AC17" s="58"/>
      <c r="AD17" s="58"/>
      <c r="AE17" s="58"/>
      <c r="AF17" s="58"/>
      <c r="AG17" s="58"/>
      <c r="AH17" s="57">
        <f>T17+W17+Z17+AC17+AF17</f>
        <v>0</v>
      </c>
      <c r="AI17" s="59">
        <f t="shared" si="8"/>
        <v>0</v>
      </c>
      <c r="AJ17" s="59">
        <f t="shared" si="8"/>
        <v>0</v>
      </c>
      <c r="AK17" s="66"/>
      <c r="AL17" s="59">
        <f t="shared" si="4"/>
        <v>0</v>
      </c>
      <c r="AM17" s="59">
        <f>G17+W17</f>
        <v>0</v>
      </c>
      <c r="AN17" s="66"/>
      <c r="AO17" s="59">
        <f t="shared" si="5"/>
        <v>0</v>
      </c>
      <c r="AP17" s="59">
        <f>J17+Z17</f>
        <v>0</v>
      </c>
      <c r="AQ17" s="66"/>
      <c r="AR17" s="59">
        <f t="shared" si="1"/>
        <v>0</v>
      </c>
      <c r="AS17" s="59">
        <f t="shared" si="6"/>
        <v>0</v>
      </c>
      <c r="AT17" s="60"/>
      <c r="AU17" s="59">
        <f t="shared" si="2"/>
        <v>0</v>
      </c>
      <c r="AV17" s="59">
        <f t="shared" si="7"/>
        <v>0</v>
      </c>
      <c r="AW17" s="60"/>
      <c r="AX17" s="57">
        <f>AJ17+AM17+AP17+AS17+AV17</f>
        <v>0</v>
      </c>
    </row>
    <row r="18" spans="1:50" ht="23.25">
      <c r="A18" s="41" t="s">
        <v>78</v>
      </c>
      <c r="B18" s="44" t="s">
        <v>74</v>
      </c>
      <c r="C18" s="379"/>
      <c r="D18" s="260"/>
      <c r="E18" s="63"/>
      <c r="F18" s="56"/>
      <c r="G18" s="260"/>
      <c r="H18" s="64"/>
      <c r="I18" s="55"/>
      <c r="J18" s="264"/>
      <c r="K18" s="55"/>
      <c r="L18" s="55"/>
      <c r="M18" s="55"/>
      <c r="N18" s="55"/>
      <c r="O18" s="55"/>
      <c r="P18" s="55"/>
      <c r="Q18" s="55"/>
      <c r="R18" s="57">
        <f t="shared" si="3"/>
        <v>0</v>
      </c>
      <c r="S18" s="382"/>
      <c r="T18" s="417"/>
      <c r="U18" s="65"/>
      <c r="V18" s="58"/>
      <c r="W18" s="421"/>
      <c r="X18" s="65"/>
      <c r="Y18" s="58"/>
      <c r="Z18" s="269"/>
      <c r="AA18" s="65"/>
      <c r="AB18" s="58"/>
      <c r="AC18" s="58"/>
      <c r="AD18" s="58"/>
      <c r="AE18" s="58"/>
      <c r="AF18" s="58"/>
      <c r="AG18" s="58"/>
      <c r="AH18" s="57">
        <f>T18+W18+Z18+AC18+AF18</f>
        <v>0</v>
      </c>
      <c r="AI18" s="59">
        <f t="shared" si="8"/>
        <v>0</v>
      </c>
      <c r="AJ18" s="59">
        <f t="shared" si="8"/>
        <v>0</v>
      </c>
      <c r="AK18" s="66"/>
      <c r="AL18" s="59">
        <f t="shared" si="4"/>
        <v>0</v>
      </c>
      <c r="AM18" s="59">
        <f>G18+W18</f>
        <v>0</v>
      </c>
      <c r="AN18" s="66"/>
      <c r="AO18" s="59">
        <f t="shared" si="5"/>
        <v>0</v>
      </c>
      <c r="AP18" s="59">
        <f>J18+Z18</f>
        <v>0</v>
      </c>
      <c r="AQ18" s="66"/>
      <c r="AR18" s="59">
        <f t="shared" si="1"/>
        <v>0</v>
      </c>
      <c r="AS18" s="59">
        <f t="shared" si="6"/>
        <v>0</v>
      </c>
      <c r="AT18" s="60"/>
      <c r="AU18" s="59">
        <f t="shared" si="2"/>
        <v>0</v>
      </c>
      <c r="AV18" s="59">
        <f t="shared" si="7"/>
        <v>0</v>
      </c>
      <c r="AW18" s="60"/>
      <c r="AX18" s="57">
        <f>AJ18+AM18+AP18+AS18+AV18</f>
        <v>0</v>
      </c>
    </row>
    <row r="19" spans="1:50" ht="63" customHeight="1" thickBot="1">
      <c r="A19" s="42">
        <v>8</v>
      </c>
      <c r="B19" s="46" t="s">
        <v>192</v>
      </c>
      <c r="C19" s="380">
        <v>194.2</v>
      </c>
      <c r="D19" s="261">
        <f>6265/23</f>
        <v>272.39130434782606</v>
      </c>
      <c r="E19" s="67">
        <f>D19/C19</f>
        <v>1.402632875117539</v>
      </c>
      <c r="F19" s="54">
        <v>185.8</v>
      </c>
      <c r="G19" s="263">
        <f>1380/5</f>
        <v>276</v>
      </c>
      <c r="H19" s="68">
        <f>G19/F19</f>
        <v>1.4854682454251882</v>
      </c>
      <c r="I19" s="53"/>
      <c r="J19" s="263"/>
      <c r="K19" s="53"/>
      <c r="L19" s="53"/>
      <c r="M19" s="53"/>
      <c r="N19" s="53"/>
      <c r="O19" s="53"/>
      <c r="P19" s="53"/>
      <c r="Q19" s="53"/>
      <c r="R19" s="416">
        <f>(6265+1380)/37</f>
        <v>206.6216216216216</v>
      </c>
      <c r="S19" s="383">
        <v>128</v>
      </c>
      <c r="T19" s="418">
        <f>4590/30</f>
        <v>153</v>
      </c>
      <c r="U19" s="108">
        <f>T19/S19</f>
        <v>1.1953125</v>
      </c>
      <c r="V19" s="419">
        <v>241</v>
      </c>
      <c r="W19" s="109">
        <v>626</v>
      </c>
      <c r="X19" s="420">
        <f>W19/V19</f>
        <v>2.5975103734439835</v>
      </c>
      <c r="Y19" s="109">
        <v>0</v>
      </c>
      <c r="Z19" s="109">
        <v>0</v>
      </c>
      <c r="AA19" s="108"/>
      <c r="AB19" s="109"/>
      <c r="AC19" s="109"/>
      <c r="AD19" s="109"/>
      <c r="AE19" s="109"/>
      <c r="AF19" s="109"/>
      <c r="AG19" s="109"/>
      <c r="AH19" s="100">
        <f>(4590+2504)/34</f>
        <v>208.64705882352942</v>
      </c>
      <c r="AI19" s="111">
        <f>(1208+749)/72</f>
        <v>27.180555555555557</v>
      </c>
      <c r="AJ19" s="282">
        <f>(6265+4590)/(32+30)</f>
        <v>175.08064516129033</v>
      </c>
      <c r="AK19" s="69">
        <f>AJ19/AI19</f>
        <v>6.441393179158356</v>
      </c>
      <c r="AL19" s="111">
        <f>(144+485)/6</f>
        <v>104.83333333333333</v>
      </c>
      <c r="AM19" s="282">
        <f>(1380+2504)/(5+4)</f>
        <v>431.55555555555554</v>
      </c>
      <c r="AN19" s="69">
        <f>AM19/AL19</f>
        <v>4.116587175410705</v>
      </c>
      <c r="AO19" s="61">
        <v>0</v>
      </c>
      <c r="AP19" s="61"/>
      <c r="AQ19" s="69"/>
      <c r="AR19" s="61"/>
      <c r="AS19" s="61"/>
      <c r="AT19" s="62"/>
      <c r="AU19" s="61"/>
      <c r="AV19" s="61"/>
      <c r="AW19" s="62"/>
      <c r="AX19" s="100">
        <f>(6265+1380+4590+2504)/71</f>
        <v>207.59154929577466</v>
      </c>
    </row>
    <row r="20" spans="1:34" ht="20.25">
      <c r="A20" s="35"/>
      <c r="B20" s="36"/>
      <c r="C20" s="36"/>
      <c r="D20" s="37"/>
      <c r="E20" s="36"/>
      <c r="F20" s="36"/>
      <c r="G20" s="37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50" ht="20.25">
      <c r="A21" s="36"/>
      <c r="B21" s="36"/>
      <c r="C21" s="36"/>
      <c r="D21" s="37"/>
      <c r="E21" s="36"/>
      <c r="F21" s="36"/>
      <c r="G21" s="3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AM21" s="110"/>
      <c r="AX21" s="112"/>
    </row>
    <row r="22" spans="1:18" ht="21">
      <c r="A22" s="38"/>
      <c r="B22" s="38"/>
      <c r="C22" s="38"/>
      <c r="D22" s="39"/>
      <c r="E22" s="38"/>
      <c r="F22" s="38"/>
      <c r="G22" s="3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sheetProtection/>
  <mergeCells count="26">
    <mergeCell ref="AI3:AX3"/>
    <mergeCell ref="AI4:AW4"/>
    <mergeCell ref="AX4:AX6"/>
    <mergeCell ref="AI5:AK5"/>
    <mergeCell ref="AL5:AN5"/>
    <mergeCell ref="AO5:AQ5"/>
    <mergeCell ref="S5:U5"/>
    <mergeCell ref="V5:X5"/>
    <mergeCell ref="AR5:AT5"/>
    <mergeCell ref="AU5:AW5"/>
    <mergeCell ref="B3:B6"/>
    <mergeCell ref="O5:Q5"/>
    <mergeCell ref="AE5:AG5"/>
    <mergeCell ref="S3:AH3"/>
    <mergeCell ref="R4:R6"/>
    <mergeCell ref="AH4:AH6"/>
    <mergeCell ref="A3:A6"/>
    <mergeCell ref="C3:R3"/>
    <mergeCell ref="Y5:AA5"/>
    <mergeCell ref="AB5:AD5"/>
    <mergeCell ref="C4:Q4"/>
    <mergeCell ref="C5:E5"/>
    <mergeCell ref="F5:H5"/>
    <mergeCell ref="I5:K5"/>
    <mergeCell ref="L5:N5"/>
    <mergeCell ref="S4:AG4"/>
  </mergeCells>
  <printOptions/>
  <pageMargins left="0.7" right="0.7" top="0.75" bottom="0.75" header="0.3" footer="0.3"/>
  <pageSetup fitToHeight="0" fitToWidth="2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3"/>
  <sheetViews>
    <sheetView workbookViewId="0" topLeftCell="B1">
      <selection activeCell="A3" sqref="A3:K3"/>
    </sheetView>
  </sheetViews>
  <sheetFormatPr defaultColWidth="9.140625" defaultRowHeight="15"/>
  <cols>
    <col min="1" max="1" width="25.421875" style="396" customWidth="1"/>
    <col min="2" max="2" width="14.8515625" style="396" customWidth="1"/>
    <col min="3" max="3" width="19.57421875" style="396" customWidth="1"/>
    <col min="4" max="4" width="13.28125" style="396" customWidth="1"/>
    <col min="5" max="5" width="14.8515625" style="396" customWidth="1"/>
    <col min="6" max="6" width="15.57421875" style="396" customWidth="1"/>
    <col min="7" max="7" width="13.7109375" style="396" customWidth="1"/>
    <col min="8" max="8" width="12.7109375" style="396" customWidth="1"/>
    <col min="9" max="9" width="14.7109375" style="396" customWidth="1"/>
    <col min="10" max="10" width="17.421875" style="396" customWidth="1"/>
    <col min="11" max="11" width="15.8515625" style="396" customWidth="1"/>
    <col min="12" max="16384" width="9.140625" style="396" customWidth="1"/>
  </cols>
  <sheetData>
    <row r="1" spans="1:11" ht="43.5" customHeight="1">
      <c r="A1" s="701" t="s">
        <v>760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</row>
    <row r="2" ht="15.75">
      <c r="A2" s="403"/>
    </row>
    <row r="3" spans="1:11" ht="31.5" customHeight="1">
      <c r="A3" s="653" t="s">
        <v>761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</row>
  </sheetData>
  <sheetProtection/>
  <mergeCells count="2">
    <mergeCell ref="A1:K1"/>
    <mergeCell ref="A3:K3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7"/>
  <sheetViews>
    <sheetView zoomScale="65" zoomScaleNormal="65" zoomScalePageLayoutView="0" workbookViewId="0" topLeftCell="A1">
      <pane xSplit="2" ySplit="7" topLeftCell="A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O20" sqref="AO20"/>
    </sheetView>
  </sheetViews>
  <sheetFormatPr defaultColWidth="9.140625" defaultRowHeight="15"/>
  <cols>
    <col min="1" max="1" width="10.8515625" style="0" customWidth="1"/>
    <col min="2" max="2" width="83.7109375" style="0" customWidth="1"/>
    <col min="3" max="3" width="7.00390625" style="0" customWidth="1"/>
    <col min="4" max="4" width="7.140625" style="0" customWidth="1"/>
    <col min="5" max="5" width="12.421875" style="0" customWidth="1"/>
    <col min="6" max="6" width="9.421875" style="0" customWidth="1"/>
    <col min="7" max="7" width="8.140625" style="0" customWidth="1"/>
    <col min="8" max="8" width="11.8515625" style="0" customWidth="1"/>
    <col min="9" max="9" width="9.00390625" style="0" customWidth="1"/>
    <col min="10" max="10" width="8.28125" style="0" customWidth="1"/>
    <col min="11" max="11" width="12.7109375" style="0" customWidth="1"/>
    <col min="12" max="13" width="7.00390625" style="0" customWidth="1"/>
    <col min="14" max="14" width="12.421875" style="0" customWidth="1"/>
    <col min="15" max="16" width="7.00390625" style="0" customWidth="1"/>
    <col min="17" max="17" width="12.140625" style="0" customWidth="1"/>
    <col min="20" max="20" width="12.00390625" style="0" customWidth="1"/>
    <col min="21" max="22" width="10.00390625" style="0" bestFit="1" customWidth="1"/>
    <col min="23" max="23" width="11.28125" style="0" customWidth="1"/>
    <col min="26" max="26" width="10.7109375" style="0" customWidth="1"/>
    <col min="29" max="29" width="12.00390625" style="0" bestFit="1" customWidth="1"/>
    <col min="33" max="33" width="11.57421875" style="0" bestFit="1" customWidth="1"/>
    <col min="35" max="35" width="10.7109375" style="0" customWidth="1"/>
    <col min="36" max="36" width="10.8515625" style="0" customWidth="1"/>
    <col min="37" max="37" width="13.00390625" style="0" customWidth="1"/>
    <col min="38" max="38" width="11.57421875" style="0" customWidth="1"/>
    <col min="39" max="39" width="10.8515625" style="0" customWidth="1"/>
    <col min="40" max="40" width="9.28125" style="0" customWidth="1"/>
    <col min="41" max="41" width="12.00390625" style="0" customWidth="1"/>
    <col min="44" max="44" width="12.00390625" style="0" bestFit="1" customWidth="1"/>
    <col min="46" max="46" width="8.8515625" style="0" customWidth="1"/>
    <col min="47" max="47" width="12.00390625" style="0" bestFit="1" customWidth="1"/>
  </cols>
  <sheetData>
    <row r="1" spans="1:17" ht="21">
      <c r="A1" s="702" t="s">
        <v>79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</row>
    <row r="2" spans="1:17" ht="21">
      <c r="A2" s="7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15.5" customHeight="1" thickBot="1">
      <c r="A3" s="701" t="s">
        <v>80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1:47" ht="18.75">
      <c r="A4" s="712" t="s">
        <v>9</v>
      </c>
      <c r="B4" s="709" t="s">
        <v>81</v>
      </c>
      <c r="C4" s="706" t="s">
        <v>223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8"/>
      <c r="R4" s="706" t="s">
        <v>224</v>
      </c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8"/>
      <c r="AG4" s="706" t="s">
        <v>226</v>
      </c>
      <c r="AH4" s="707"/>
      <c r="AI4" s="707"/>
      <c r="AJ4" s="707"/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8"/>
    </row>
    <row r="5" spans="1:47" ht="33" customHeight="1">
      <c r="A5" s="713"/>
      <c r="B5" s="710"/>
      <c r="C5" s="703" t="s">
        <v>82</v>
      </c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5"/>
      <c r="R5" s="703" t="s">
        <v>82</v>
      </c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5"/>
      <c r="AG5" s="703" t="s">
        <v>82</v>
      </c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5"/>
    </row>
    <row r="6" spans="1:47" ht="66.75" customHeight="1">
      <c r="A6" s="713"/>
      <c r="B6" s="710"/>
      <c r="C6" s="703" t="s">
        <v>83</v>
      </c>
      <c r="D6" s="704"/>
      <c r="E6" s="704"/>
      <c r="F6" s="704" t="s">
        <v>84</v>
      </c>
      <c r="G6" s="704"/>
      <c r="H6" s="704"/>
      <c r="I6" s="704" t="s">
        <v>85</v>
      </c>
      <c r="J6" s="704"/>
      <c r="K6" s="704"/>
      <c r="L6" s="704" t="s">
        <v>86</v>
      </c>
      <c r="M6" s="704"/>
      <c r="N6" s="704"/>
      <c r="O6" s="704" t="s">
        <v>87</v>
      </c>
      <c r="P6" s="704"/>
      <c r="Q6" s="705"/>
      <c r="R6" s="703" t="s">
        <v>83</v>
      </c>
      <c r="S6" s="704"/>
      <c r="T6" s="704"/>
      <c r="U6" s="704" t="s">
        <v>84</v>
      </c>
      <c r="V6" s="704"/>
      <c r="W6" s="704"/>
      <c r="X6" s="704" t="s">
        <v>85</v>
      </c>
      <c r="Y6" s="704"/>
      <c r="Z6" s="704"/>
      <c r="AA6" s="704" t="s">
        <v>86</v>
      </c>
      <c r="AB6" s="704"/>
      <c r="AC6" s="704"/>
      <c r="AD6" s="704" t="s">
        <v>87</v>
      </c>
      <c r="AE6" s="704"/>
      <c r="AF6" s="705"/>
      <c r="AG6" s="703" t="s">
        <v>83</v>
      </c>
      <c r="AH6" s="704"/>
      <c r="AI6" s="704"/>
      <c r="AJ6" s="704" t="s">
        <v>84</v>
      </c>
      <c r="AK6" s="704"/>
      <c r="AL6" s="704"/>
      <c r="AM6" s="704" t="s">
        <v>85</v>
      </c>
      <c r="AN6" s="704"/>
      <c r="AO6" s="704"/>
      <c r="AP6" s="704" t="s">
        <v>86</v>
      </c>
      <c r="AQ6" s="704"/>
      <c r="AR6" s="704"/>
      <c r="AS6" s="704" t="s">
        <v>87</v>
      </c>
      <c r="AT6" s="704"/>
      <c r="AU6" s="705"/>
    </row>
    <row r="7" spans="1:47" ht="90.75" customHeight="1">
      <c r="A7" s="714"/>
      <c r="B7" s="711"/>
      <c r="C7" s="91">
        <v>2016</v>
      </c>
      <c r="D7" s="70">
        <v>2017</v>
      </c>
      <c r="E7" s="234" t="s">
        <v>68</v>
      </c>
      <c r="F7" s="70">
        <v>2016</v>
      </c>
      <c r="G7" s="70">
        <v>2017</v>
      </c>
      <c r="H7" s="234" t="s">
        <v>68</v>
      </c>
      <c r="I7" s="70">
        <v>2016</v>
      </c>
      <c r="J7" s="70">
        <v>2017</v>
      </c>
      <c r="K7" s="234" t="s">
        <v>68</v>
      </c>
      <c r="L7" s="70">
        <v>2016</v>
      </c>
      <c r="M7" s="70">
        <v>2017</v>
      </c>
      <c r="N7" s="234" t="s">
        <v>68</v>
      </c>
      <c r="O7" s="70">
        <v>2016</v>
      </c>
      <c r="P7" s="70">
        <v>2017</v>
      </c>
      <c r="Q7" s="235" t="s">
        <v>68</v>
      </c>
      <c r="R7" s="70">
        <v>2016</v>
      </c>
      <c r="S7" s="70">
        <v>2017</v>
      </c>
      <c r="T7" s="71" t="s">
        <v>68</v>
      </c>
      <c r="U7" s="70">
        <v>2016</v>
      </c>
      <c r="V7" s="70">
        <v>2017</v>
      </c>
      <c r="W7" s="71" t="s">
        <v>68</v>
      </c>
      <c r="X7" s="70">
        <v>2016</v>
      </c>
      <c r="Y7" s="70">
        <v>2017</v>
      </c>
      <c r="Z7" s="71" t="s">
        <v>68</v>
      </c>
      <c r="AA7" s="70">
        <v>2016</v>
      </c>
      <c r="AB7" s="70">
        <v>2017</v>
      </c>
      <c r="AC7" s="71" t="s">
        <v>68</v>
      </c>
      <c r="AD7" s="70">
        <v>2016</v>
      </c>
      <c r="AE7" s="70">
        <v>2017</v>
      </c>
      <c r="AF7" s="78" t="s">
        <v>68</v>
      </c>
      <c r="AG7" s="70">
        <v>2016</v>
      </c>
      <c r="AH7" s="70">
        <v>2017</v>
      </c>
      <c r="AI7" s="71" t="s">
        <v>68</v>
      </c>
      <c r="AJ7" s="70">
        <v>2016</v>
      </c>
      <c r="AK7" s="70">
        <v>2017</v>
      </c>
      <c r="AL7" s="71" t="s">
        <v>68</v>
      </c>
      <c r="AM7" s="70">
        <v>2016</v>
      </c>
      <c r="AN7" s="70">
        <v>2017</v>
      </c>
      <c r="AO7" s="71" t="s">
        <v>68</v>
      </c>
      <c r="AP7" s="70">
        <v>2016</v>
      </c>
      <c r="AQ7" s="70">
        <v>2017</v>
      </c>
      <c r="AR7" s="71" t="s">
        <v>68</v>
      </c>
      <c r="AS7" s="70">
        <v>2016</v>
      </c>
      <c r="AT7" s="70">
        <v>2017</v>
      </c>
      <c r="AU7" s="78" t="s">
        <v>68</v>
      </c>
    </row>
    <row r="8" spans="1:47" ht="18.75">
      <c r="A8" s="79">
        <v>1</v>
      </c>
      <c r="B8" s="89">
        <v>2</v>
      </c>
      <c r="C8" s="233">
        <v>3</v>
      </c>
      <c r="D8" s="234">
        <v>4</v>
      </c>
      <c r="E8" s="234">
        <v>5</v>
      </c>
      <c r="F8" s="234">
        <v>6</v>
      </c>
      <c r="G8" s="234">
        <v>7</v>
      </c>
      <c r="H8" s="234">
        <v>8</v>
      </c>
      <c r="I8" s="234">
        <v>9</v>
      </c>
      <c r="J8" s="234">
        <v>10</v>
      </c>
      <c r="K8" s="234">
        <v>11</v>
      </c>
      <c r="L8" s="234">
        <v>12</v>
      </c>
      <c r="M8" s="234">
        <v>13</v>
      </c>
      <c r="N8" s="234">
        <v>14</v>
      </c>
      <c r="O8" s="234">
        <v>15</v>
      </c>
      <c r="P8" s="234">
        <v>16</v>
      </c>
      <c r="Q8" s="235">
        <v>17</v>
      </c>
      <c r="R8" s="79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71">
        <v>28</v>
      </c>
      <c r="AC8" s="71">
        <v>29</v>
      </c>
      <c r="AD8" s="71">
        <v>30</v>
      </c>
      <c r="AE8" s="71">
        <v>31</v>
      </c>
      <c r="AF8" s="78">
        <v>32</v>
      </c>
      <c r="AG8" s="79">
        <v>33</v>
      </c>
      <c r="AH8" s="71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71">
        <v>46</v>
      </c>
      <c r="AU8" s="78">
        <v>47</v>
      </c>
    </row>
    <row r="9" spans="1:47" ht="24.75" customHeight="1">
      <c r="A9" s="40">
        <v>1</v>
      </c>
      <c r="B9" s="44" t="s">
        <v>88</v>
      </c>
      <c r="C9" s="92">
        <f>SUM(C10:C15)</f>
        <v>48</v>
      </c>
      <c r="D9" s="73">
        <v>41</v>
      </c>
      <c r="E9" s="74">
        <f>D9/C9</f>
        <v>0.8541666666666666</v>
      </c>
      <c r="F9" s="75">
        <f>SUM(F10:F15)</f>
        <v>9</v>
      </c>
      <c r="G9" s="75">
        <f>SUM(G10:G15)</f>
        <v>0</v>
      </c>
      <c r="H9" s="74">
        <f>G9/F9</f>
        <v>0</v>
      </c>
      <c r="I9" s="75">
        <f>SUM(I10:I15)</f>
        <v>4</v>
      </c>
      <c r="J9" s="75"/>
      <c r="K9" s="74">
        <f>J9/I9</f>
        <v>0</v>
      </c>
      <c r="L9" s="75">
        <f>SUM(L10:L15)</f>
        <v>0</v>
      </c>
      <c r="M9" s="75">
        <f>SUM(M10:M15)</f>
        <v>0</v>
      </c>
      <c r="N9" s="75"/>
      <c r="O9" s="75">
        <f>SUM(O10:O15)</f>
        <v>0</v>
      </c>
      <c r="P9" s="75">
        <f>SUM(P10:P15)</f>
        <v>0</v>
      </c>
      <c r="Q9" s="80"/>
      <c r="R9" s="424">
        <f>SUM(R10:R15)</f>
        <v>95</v>
      </c>
      <c r="S9" s="458">
        <f>SUM(S10:S15)</f>
        <v>132</v>
      </c>
      <c r="T9" s="270">
        <f>S9/R9</f>
        <v>1.3894736842105264</v>
      </c>
      <c r="U9" s="271">
        <f>SUM(U10:U15)</f>
        <v>14</v>
      </c>
      <c r="V9" s="272"/>
      <c r="W9" s="270">
        <f>V9/U9</f>
        <v>0</v>
      </c>
      <c r="X9" s="271"/>
      <c r="Y9" s="271"/>
      <c r="Z9" s="271"/>
      <c r="AA9" s="271">
        <f>SUM(AA10:AA15)</f>
        <v>0</v>
      </c>
      <c r="AB9" s="428">
        <f>SUM(AB10:AB15)</f>
        <v>49</v>
      </c>
      <c r="AC9" s="271"/>
      <c r="AD9" s="271">
        <f>SUM(AD10:AD15)</f>
        <v>0</v>
      </c>
      <c r="AE9" s="271">
        <f>SUM(AE10:AE15)</f>
        <v>0</v>
      </c>
      <c r="AF9" s="273"/>
      <c r="AG9" s="94">
        <f>SUM(AG10:AG15)</f>
        <v>143</v>
      </c>
      <c r="AH9" s="73">
        <v>41</v>
      </c>
      <c r="AI9" s="74">
        <f>AH9/AG9</f>
        <v>0.2867132867132867</v>
      </c>
      <c r="AJ9" s="465">
        <f>SUM(AJ10:AJ15)</f>
        <v>23</v>
      </c>
      <c r="AK9" s="465">
        <f>SUM(AK10:AK15)</f>
        <v>0</v>
      </c>
      <c r="AL9" s="74">
        <f>AK9/AJ9</f>
        <v>0</v>
      </c>
      <c r="AM9" s="75">
        <f>SUM(AM10:AM15)</f>
        <v>4</v>
      </c>
      <c r="AN9" s="465">
        <f>SUM(AN10:AN15)</f>
        <v>2</v>
      </c>
      <c r="AO9" s="74">
        <f>AN9/AM9</f>
        <v>0.5</v>
      </c>
      <c r="AP9" s="465">
        <f>SUM(AP10:AP15)</f>
        <v>0</v>
      </c>
      <c r="AQ9" s="465">
        <f>SUM(AQ10:AQ15)</f>
        <v>49</v>
      </c>
      <c r="AR9" s="74"/>
      <c r="AS9" s="75">
        <f>SUM(AS10:AS15)</f>
        <v>0</v>
      </c>
      <c r="AT9" s="75">
        <f>SUM(AT10:AT15)</f>
        <v>0</v>
      </c>
      <c r="AU9" s="80"/>
    </row>
    <row r="10" spans="1:47" ht="24.75" customHeight="1">
      <c r="A10" s="41" t="s">
        <v>26</v>
      </c>
      <c r="B10" s="43" t="s">
        <v>89</v>
      </c>
      <c r="C10" s="93"/>
      <c r="D10" s="75"/>
      <c r="E10" s="76"/>
      <c r="F10" s="75"/>
      <c r="G10" s="75"/>
      <c r="H10" s="76"/>
      <c r="I10" s="75"/>
      <c r="J10" s="75"/>
      <c r="K10" s="76"/>
      <c r="L10" s="75"/>
      <c r="M10" s="75"/>
      <c r="N10" s="75"/>
      <c r="O10" s="75"/>
      <c r="P10" s="75"/>
      <c r="Q10" s="80"/>
      <c r="R10" s="425"/>
      <c r="S10" s="428"/>
      <c r="T10" s="271"/>
      <c r="U10" s="271"/>
      <c r="V10" s="272"/>
      <c r="W10" s="271"/>
      <c r="X10" s="271"/>
      <c r="Y10" s="271"/>
      <c r="Z10" s="271"/>
      <c r="AA10" s="271"/>
      <c r="AB10" s="271"/>
      <c r="AC10" s="271"/>
      <c r="AD10" s="271"/>
      <c r="AE10" s="271"/>
      <c r="AF10" s="274"/>
      <c r="AG10" s="375">
        <f aca="true" t="shared" si="0" ref="AG10:AG29">C10+R10</f>
        <v>0</v>
      </c>
      <c r="AH10" s="77">
        <f aca="true" t="shared" si="1" ref="AH10:AH29">D10+S10</f>
        <v>0</v>
      </c>
      <c r="AI10" s="74"/>
      <c r="AJ10" s="430">
        <f aca="true" t="shared" si="2" ref="AJ10:AJ29">F10+U10</f>
        <v>0</v>
      </c>
      <c r="AK10" s="77">
        <f aca="true" t="shared" si="3" ref="AK10:AK29">G10+V10</f>
        <v>0</v>
      </c>
      <c r="AL10" s="74"/>
      <c r="AM10" s="77">
        <f aca="true" t="shared" si="4" ref="AM10:AM29">I10+X10</f>
        <v>0</v>
      </c>
      <c r="AN10" s="77">
        <f aca="true" t="shared" si="5" ref="AN10:AN29">J10+Y10</f>
        <v>0</v>
      </c>
      <c r="AO10" s="74"/>
      <c r="AP10" s="77">
        <f aca="true" t="shared" si="6" ref="AP10:AP29">L10+AA10</f>
        <v>0</v>
      </c>
      <c r="AQ10" s="77">
        <f aca="true" t="shared" si="7" ref="AQ10:AQ29">M10+AB10</f>
        <v>0</v>
      </c>
      <c r="AR10" s="74"/>
      <c r="AS10" s="77">
        <f aca="true" t="shared" si="8" ref="AS10:AS29">O10+AD10</f>
        <v>0</v>
      </c>
      <c r="AT10" s="77">
        <f aca="true" t="shared" si="9" ref="AT10:AT29">P10+AE10</f>
        <v>0</v>
      </c>
      <c r="AU10" s="464"/>
    </row>
    <row r="11" spans="1:47" ht="24.75" customHeight="1">
      <c r="A11" s="41" t="s">
        <v>27</v>
      </c>
      <c r="B11" s="43" t="s">
        <v>90</v>
      </c>
      <c r="C11" s="94">
        <v>48</v>
      </c>
      <c r="D11" s="77">
        <v>39</v>
      </c>
      <c r="E11" s="74">
        <f>D11/C11</f>
        <v>0.8125</v>
      </c>
      <c r="F11" s="73">
        <v>9</v>
      </c>
      <c r="G11" s="73"/>
      <c r="H11" s="74">
        <f>G11/F11</f>
        <v>0</v>
      </c>
      <c r="I11" s="73">
        <v>4</v>
      </c>
      <c r="J11" s="73">
        <v>2</v>
      </c>
      <c r="K11" s="74">
        <f>J11/I11</f>
        <v>0.5</v>
      </c>
      <c r="L11" s="75"/>
      <c r="M11" s="75"/>
      <c r="N11" s="75"/>
      <c r="O11" s="73"/>
      <c r="P11" s="73"/>
      <c r="Q11" s="81"/>
      <c r="R11" s="424">
        <v>32</v>
      </c>
      <c r="S11" s="458">
        <v>43</v>
      </c>
      <c r="T11" s="270">
        <f>S11/R11</f>
        <v>1.34375</v>
      </c>
      <c r="U11" s="275">
        <v>12</v>
      </c>
      <c r="V11" s="272"/>
      <c r="W11" s="270">
        <f>V11/U11</f>
        <v>0</v>
      </c>
      <c r="X11" s="271"/>
      <c r="Y11" s="271"/>
      <c r="Z11" s="271"/>
      <c r="AA11" s="271"/>
      <c r="AB11" s="428">
        <v>9</v>
      </c>
      <c r="AC11" s="271"/>
      <c r="AD11" s="271"/>
      <c r="AE11" s="271"/>
      <c r="AF11" s="276"/>
      <c r="AG11" s="375">
        <f t="shared" si="0"/>
        <v>80</v>
      </c>
      <c r="AH11" s="77">
        <f t="shared" si="1"/>
        <v>82</v>
      </c>
      <c r="AI11" s="74">
        <f>AH11/AG11</f>
        <v>1.025</v>
      </c>
      <c r="AJ11" s="430">
        <f t="shared" si="2"/>
        <v>21</v>
      </c>
      <c r="AK11" s="77">
        <f t="shared" si="3"/>
        <v>0</v>
      </c>
      <c r="AL11" s="74">
        <f>AK11/AJ11</f>
        <v>0</v>
      </c>
      <c r="AM11" s="77">
        <f t="shared" si="4"/>
        <v>4</v>
      </c>
      <c r="AN11" s="77">
        <f t="shared" si="5"/>
        <v>2</v>
      </c>
      <c r="AO11" s="74">
        <f>AN11/AM11</f>
        <v>0.5</v>
      </c>
      <c r="AP11" s="77">
        <f t="shared" si="6"/>
        <v>0</v>
      </c>
      <c r="AQ11" s="77">
        <f t="shared" si="7"/>
        <v>9</v>
      </c>
      <c r="AR11" s="74"/>
      <c r="AS11" s="77">
        <f t="shared" si="8"/>
        <v>0</v>
      </c>
      <c r="AT11" s="77">
        <f t="shared" si="9"/>
        <v>0</v>
      </c>
      <c r="AU11" s="464"/>
    </row>
    <row r="12" spans="1:47" ht="24.75" customHeight="1">
      <c r="A12" s="41" t="s">
        <v>28</v>
      </c>
      <c r="B12" s="43" t="s">
        <v>91</v>
      </c>
      <c r="C12" s="92"/>
      <c r="D12" s="73"/>
      <c r="E12" s="74"/>
      <c r="F12" s="73"/>
      <c r="G12" s="73"/>
      <c r="H12" s="74"/>
      <c r="I12" s="73"/>
      <c r="J12" s="73"/>
      <c r="K12" s="74"/>
      <c r="L12" s="73"/>
      <c r="M12" s="73"/>
      <c r="N12" s="73"/>
      <c r="O12" s="73"/>
      <c r="P12" s="73"/>
      <c r="Q12" s="81"/>
      <c r="R12" s="424"/>
      <c r="S12" s="458"/>
      <c r="T12" s="270"/>
      <c r="U12" s="275"/>
      <c r="V12" s="272"/>
      <c r="W12" s="270"/>
      <c r="X12" s="271"/>
      <c r="Y12" s="271"/>
      <c r="Z12" s="275"/>
      <c r="AA12" s="275"/>
      <c r="AB12" s="275"/>
      <c r="AC12" s="275"/>
      <c r="AD12" s="275"/>
      <c r="AE12" s="275"/>
      <c r="AF12" s="276"/>
      <c r="AG12" s="375">
        <f t="shared" si="0"/>
        <v>0</v>
      </c>
      <c r="AH12" s="77">
        <f t="shared" si="1"/>
        <v>0</v>
      </c>
      <c r="AI12" s="74"/>
      <c r="AJ12" s="430">
        <f t="shared" si="2"/>
        <v>0</v>
      </c>
      <c r="AK12" s="77">
        <f t="shared" si="3"/>
        <v>0</v>
      </c>
      <c r="AL12" s="74"/>
      <c r="AM12" s="77">
        <f t="shared" si="4"/>
        <v>0</v>
      </c>
      <c r="AN12" s="77">
        <f t="shared" si="5"/>
        <v>0</v>
      </c>
      <c r="AO12" s="74"/>
      <c r="AP12" s="77">
        <f t="shared" si="6"/>
        <v>0</v>
      </c>
      <c r="AQ12" s="77">
        <f t="shared" si="7"/>
        <v>0</v>
      </c>
      <c r="AR12" s="74"/>
      <c r="AS12" s="77">
        <f t="shared" si="8"/>
        <v>0</v>
      </c>
      <c r="AT12" s="77">
        <f t="shared" si="9"/>
        <v>0</v>
      </c>
      <c r="AU12" s="464"/>
    </row>
    <row r="13" spans="1:47" ht="24.75" customHeight="1">
      <c r="A13" s="41" t="s">
        <v>29</v>
      </c>
      <c r="B13" s="43" t="s">
        <v>92</v>
      </c>
      <c r="C13" s="93"/>
      <c r="D13" s="75"/>
      <c r="E13" s="76"/>
      <c r="F13" s="75"/>
      <c r="G13" s="75"/>
      <c r="H13" s="76"/>
      <c r="I13" s="75"/>
      <c r="J13" s="75"/>
      <c r="K13" s="76"/>
      <c r="L13" s="75"/>
      <c r="M13" s="75"/>
      <c r="N13" s="75"/>
      <c r="O13" s="75"/>
      <c r="P13" s="75"/>
      <c r="Q13" s="80"/>
      <c r="R13" s="425"/>
      <c r="S13" s="428"/>
      <c r="T13" s="277"/>
      <c r="U13" s="271"/>
      <c r="V13" s="272"/>
      <c r="W13" s="277"/>
      <c r="X13" s="271"/>
      <c r="Y13" s="271"/>
      <c r="Z13" s="271"/>
      <c r="AA13" s="271"/>
      <c r="AB13" s="271"/>
      <c r="AC13" s="271"/>
      <c r="AD13" s="271"/>
      <c r="AE13" s="271"/>
      <c r="AF13" s="276"/>
      <c r="AG13" s="375">
        <f t="shared" si="0"/>
        <v>0</v>
      </c>
      <c r="AH13" s="77">
        <f t="shared" si="1"/>
        <v>0</v>
      </c>
      <c r="AI13" s="74"/>
      <c r="AJ13" s="430">
        <f t="shared" si="2"/>
        <v>0</v>
      </c>
      <c r="AK13" s="77">
        <f t="shared" si="3"/>
        <v>0</v>
      </c>
      <c r="AL13" s="74"/>
      <c r="AM13" s="77">
        <f t="shared" si="4"/>
        <v>0</v>
      </c>
      <c r="AN13" s="77">
        <f t="shared" si="5"/>
        <v>0</v>
      </c>
      <c r="AO13" s="74"/>
      <c r="AP13" s="77">
        <f t="shared" si="6"/>
        <v>0</v>
      </c>
      <c r="AQ13" s="77">
        <f t="shared" si="7"/>
        <v>0</v>
      </c>
      <c r="AR13" s="74"/>
      <c r="AS13" s="77">
        <f t="shared" si="8"/>
        <v>0</v>
      </c>
      <c r="AT13" s="77">
        <f t="shared" si="9"/>
        <v>0</v>
      </c>
      <c r="AU13" s="464"/>
    </row>
    <row r="14" spans="1:47" ht="24.75" customHeight="1">
      <c r="A14" s="41" t="s">
        <v>100</v>
      </c>
      <c r="B14" s="43" t="s">
        <v>93</v>
      </c>
      <c r="C14" s="93"/>
      <c r="D14" s="73"/>
      <c r="E14" s="76"/>
      <c r="F14" s="75"/>
      <c r="G14" s="75"/>
      <c r="H14" s="76"/>
      <c r="I14" s="75"/>
      <c r="J14" s="75"/>
      <c r="K14" s="76"/>
      <c r="L14" s="75"/>
      <c r="M14" s="75"/>
      <c r="N14" s="75"/>
      <c r="O14" s="75"/>
      <c r="P14" s="75"/>
      <c r="Q14" s="80"/>
      <c r="R14" s="426">
        <v>27</v>
      </c>
      <c r="S14" s="428">
        <v>34</v>
      </c>
      <c r="T14" s="270">
        <f>S14/R14</f>
        <v>1.2592592592592593</v>
      </c>
      <c r="U14" s="271">
        <v>2</v>
      </c>
      <c r="V14" s="272">
        <v>0</v>
      </c>
      <c r="W14" s="270">
        <f>V14/U14</f>
        <v>0</v>
      </c>
      <c r="X14" s="271"/>
      <c r="Y14" s="271"/>
      <c r="Z14" s="271"/>
      <c r="AA14" s="271"/>
      <c r="AB14" s="428">
        <v>34</v>
      </c>
      <c r="AC14" s="271"/>
      <c r="AD14" s="271"/>
      <c r="AE14" s="271"/>
      <c r="AF14" s="276"/>
      <c r="AG14" s="375">
        <f t="shared" si="0"/>
        <v>27</v>
      </c>
      <c r="AH14" s="77">
        <f t="shared" si="1"/>
        <v>34</v>
      </c>
      <c r="AI14" s="74">
        <f>AH14/AG14</f>
        <v>1.2592592592592593</v>
      </c>
      <c r="AJ14" s="430">
        <f t="shared" si="2"/>
        <v>2</v>
      </c>
      <c r="AK14" s="77">
        <f t="shared" si="3"/>
        <v>0</v>
      </c>
      <c r="AL14" s="74">
        <f>AK14/AJ14</f>
        <v>0</v>
      </c>
      <c r="AM14" s="77">
        <f t="shared" si="4"/>
        <v>0</v>
      </c>
      <c r="AN14" s="77">
        <f t="shared" si="5"/>
        <v>0</v>
      </c>
      <c r="AO14" s="74"/>
      <c r="AP14" s="77">
        <f t="shared" si="6"/>
        <v>0</v>
      </c>
      <c r="AQ14" s="77">
        <f t="shared" si="7"/>
        <v>34</v>
      </c>
      <c r="AR14" s="74"/>
      <c r="AS14" s="77">
        <f t="shared" si="8"/>
        <v>0</v>
      </c>
      <c r="AT14" s="77">
        <f t="shared" si="9"/>
        <v>0</v>
      </c>
      <c r="AU14" s="464"/>
    </row>
    <row r="15" spans="1:47" ht="24.75" customHeight="1">
      <c r="A15" s="41" t="s">
        <v>101</v>
      </c>
      <c r="B15" s="43" t="s">
        <v>94</v>
      </c>
      <c r="C15" s="93"/>
      <c r="D15" s="75"/>
      <c r="E15" s="76"/>
      <c r="F15" s="75"/>
      <c r="G15" s="75"/>
      <c r="H15" s="76"/>
      <c r="I15" s="75"/>
      <c r="J15" s="75"/>
      <c r="K15" s="76"/>
      <c r="L15" s="75"/>
      <c r="M15" s="75"/>
      <c r="N15" s="75"/>
      <c r="O15" s="75"/>
      <c r="P15" s="75"/>
      <c r="Q15" s="80"/>
      <c r="R15" s="425">
        <v>36</v>
      </c>
      <c r="S15" s="428">
        <v>55</v>
      </c>
      <c r="T15" s="270">
        <f>S15/R15</f>
        <v>1.5277777777777777</v>
      </c>
      <c r="U15" s="271"/>
      <c r="V15" s="272"/>
      <c r="W15" s="277"/>
      <c r="X15" s="271"/>
      <c r="Y15" s="271"/>
      <c r="Z15" s="271"/>
      <c r="AA15" s="271"/>
      <c r="AB15" s="428">
        <v>6</v>
      </c>
      <c r="AC15" s="271"/>
      <c r="AD15" s="271"/>
      <c r="AE15" s="271"/>
      <c r="AF15" s="276"/>
      <c r="AG15" s="375">
        <f t="shared" si="0"/>
        <v>36</v>
      </c>
      <c r="AH15" s="77">
        <f t="shared" si="1"/>
        <v>55</v>
      </c>
      <c r="AI15" s="74">
        <f>AH15/AG15</f>
        <v>1.5277777777777777</v>
      </c>
      <c r="AJ15" s="430">
        <f t="shared" si="2"/>
        <v>0</v>
      </c>
      <c r="AK15" s="77">
        <f t="shared" si="3"/>
        <v>0</v>
      </c>
      <c r="AL15" s="74"/>
      <c r="AM15" s="77">
        <f t="shared" si="4"/>
        <v>0</v>
      </c>
      <c r="AN15" s="77">
        <f t="shared" si="5"/>
        <v>0</v>
      </c>
      <c r="AO15" s="74"/>
      <c r="AP15" s="77">
        <f t="shared" si="6"/>
        <v>0</v>
      </c>
      <c r="AQ15" s="77">
        <f t="shared" si="7"/>
        <v>6</v>
      </c>
      <c r="AR15" s="74"/>
      <c r="AS15" s="77">
        <f t="shared" si="8"/>
        <v>0</v>
      </c>
      <c r="AT15" s="77">
        <f t="shared" si="9"/>
        <v>0</v>
      </c>
      <c r="AU15" s="464"/>
    </row>
    <row r="16" spans="1:47" ht="24.75" customHeight="1">
      <c r="A16" s="40">
        <v>2</v>
      </c>
      <c r="B16" s="43" t="s">
        <v>106</v>
      </c>
      <c r="C16" s="93"/>
      <c r="D16" s="75"/>
      <c r="E16" s="76"/>
      <c r="F16" s="75"/>
      <c r="G16" s="75"/>
      <c r="H16" s="76"/>
      <c r="I16" s="75"/>
      <c r="J16" s="75"/>
      <c r="K16" s="76"/>
      <c r="L16" s="75"/>
      <c r="M16" s="75"/>
      <c r="N16" s="75"/>
      <c r="O16" s="75"/>
      <c r="P16" s="75"/>
      <c r="Q16" s="80"/>
      <c r="R16" s="425"/>
      <c r="S16" s="428"/>
      <c r="T16" s="277"/>
      <c r="U16" s="271"/>
      <c r="V16" s="272"/>
      <c r="W16" s="277"/>
      <c r="X16" s="271"/>
      <c r="Y16" s="271"/>
      <c r="Z16" s="271"/>
      <c r="AA16" s="271"/>
      <c r="AB16" s="271"/>
      <c r="AC16" s="271"/>
      <c r="AD16" s="271"/>
      <c r="AE16" s="271"/>
      <c r="AF16" s="276"/>
      <c r="AG16" s="375">
        <f t="shared" si="0"/>
        <v>0</v>
      </c>
      <c r="AH16" s="77">
        <f t="shared" si="1"/>
        <v>0</v>
      </c>
      <c r="AI16" s="74"/>
      <c r="AJ16" s="430">
        <f t="shared" si="2"/>
        <v>0</v>
      </c>
      <c r="AK16" s="77">
        <f t="shared" si="3"/>
        <v>0</v>
      </c>
      <c r="AL16" s="74"/>
      <c r="AM16" s="77">
        <f t="shared" si="4"/>
        <v>0</v>
      </c>
      <c r="AN16" s="77">
        <f t="shared" si="5"/>
        <v>0</v>
      </c>
      <c r="AO16" s="74"/>
      <c r="AP16" s="77">
        <f t="shared" si="6"/>
        <v>0</v>
      </c>
      <c r="AQ16" s="77">
        <f t="shared" si="7"/>
        <v>0</v>
      </c>
      <c r="AR16" s="74"/>
      <c r="AS16" s="77">
        <f t="shared" si="8"/>
        <v>0</v>
      </c>
      <c r="AT16" s="77">
        <f t="shared" si="9"/>
        <v>0</v>
      </c>
      <c r="AU16" s="464"/>
    </row>
    <row r="17" spans="1:47" ht="37.5" customHeight="1">
      <c r="A17" s="41" t="s">
        <v>31</v>
      </c>
      <c r="B17" s="43" t="s">
        <v>95</v>
      </c>
      <c r="C17" s="93"/>
      <c r="D17" s="75"/>
      <c r="E17" s="76"/>
      <c r="F17" s="75"/>
      <c r="G17" s="75"/>
      <c r="H17" s="76"/>
      <c r="I17" s="75"/>
      <c r="J17" s="75"/>
      <c r="K17" s="76"/>
      <c r="L17" s="75"/>
      <c r="M17" s="75"/>
      <c r="N17" s="75"/>
      <c r="O17" s="75"/>
      <c r="P17" s="75"/>
      <c r="Q17" s="80"/>
      <c r="R17" s="425"/>
      <c r="S17" s="428"/>
      <c r="T17" s="277"/>
      <c r="U17" s="271"/>
      <c r="V17" s="272"/>
      <c r="W17" s="277"/>
      <c r="X17" s="271"/>
      <c r="Y17" s="271"/>
      <c r="Z17" s="271"/>
      <c r="AA17" s="271"/>
      <c r="AB17" s="271"/>
      <c r="AC17" s="271"/>
      <c r="AD17" s="271"/>
      <c r="AE17" s="271"/>
      <c r="AF17" s="276"/>
      <c r="AG17" s="375">
        <f t="shared" si="0"/>
        <v>0</v>
      </c>
      <c r="AH17" s="77">
        <f t="shared" si="1"/>
        <v>0</v>
      </c>
      <c r="AI17" s="74"/>
      <c r="AJ17" s="430">
        <f t="shared" si="2"/>
        <v>0</v>
      </c>
      <c r="AK17" s="77">
        <f t="shared" si="3"/>
        <v>0</v>
      </c>
      <c r="AL17" s="74"/>
      <c r="AM17" s="77">
        <f t="shared" si="4"/>
        <v>0</v>
      </c>
      <c r="AN17" s="77">
        <f t="shared" si="5"/>
        <v>0</v>
      </c>
      <c r="AO17" s="74"/>
      <c r="AP17" s="77">
        <f t="shared" si="6"/>
        <v>0</v>
      </c>
      <c r="AQ17" s="77">
        <f t="shared" si="7"/>
        <v>0</v>
      </c>
      <c r="AR17" s="74"/>
      <c r="AS17" s="77">
        <f t="shared" si="8"/>
        <v>0</v>
      </c>
      <c r="AT17" s="77">
        <f t="shared" si="9"/>
        <v>0</v>
      </c>
      <c r="AU17" s="464"/>
    </row>
    <row r="18" spans="1:47" ht="35.25" customHeight="1">
      <c r="A18" s="82" t="s">
        <v>102</v>
      </c>
      <c r="B18" s="43" t="s">
        <v>107</v>
      </c>
      <c r="C18" s="93"/>
      <c r="D18" s="75"/>
      <c r="E18" s="76"/>
      <c r="F18" s="75"/>
      <c r="G18" s="75"/>
      <c r="H18" s="76"/>
      <c r="I18" s="75"/>
      <c r="J18" s="75"/>
      <c r="K18" s="76"/>
      <c r="L18" s="75"/>
      <c r="M18" s="75"/>
      <c r="N18" s="75"/>
      <c r="O18" s="75"/>
      <c r="P18" s="75"/>
      <c r="Q18" s="80"/>
      <c r="R18" s="425"/>
      <c r="S18" s="428"/>
      <c r="T18" s="277"/>
      <c r="U18" s="271"/>
      <c r="V18" s="272"/>
      <c r="W18" s="277"/>
      <c r="X18" s="271"/>
      <c r="Y18" s="271"/>
      <c r="Z18" s="271"/>
      <c r="AA18" s="271"/>
      <c r="AB18" s="271"/>
      <c r="AC18" s="271"/>
      <c r="AD18" s="271"/>
      <c r="AE18" s="271"/>
      <c r="AF18" s="276"/>
      <c r="AG18" s="375">
        <f t="shared" si="0"/>
        <v>0</v>
      </c>
      <c r="AH18" s="77">
        <f t="shared" si="1"/>
        <v>0</v>
      </c>
      <c r="AI18" s="74"/>
      <c r="AJ18" s="430">
        <f t="shared" si="2"/>
        <v>0</v>
      </c>
      <c r="AK18" s="77">
        <f t="shared" si="3"/>
        <v>0</v>
      </c>
      <c r="AL18" s="74"/>
      <c r="AM18" s="77">
        <f t="shared" si="4"/>
        <v>0</v>
      </c>
      <c r="AN18" s="77">
        <f t="shared" si="5"/>
        <v>0</v>
      </c>
      <c r="AO18" s="74"/>
      <c r="AP18" s="77">
        <f t="shared" si="6"/>
        <v>0</v>
      </c>
      <c r="AQ18" s="77">
        <f t="shared" si="7"/>
        <v>0</v>
      </c>
      <c r="AR18" s="74"/>
      <c r="AS18" s="77">
        <f t="shared" si="8"/>
        <v>0</v>
      </c>
      <c r="AT18" s="77">
        <f t="shared" si="9"/>
        <v>0</v>
      </c>
      <c r="AU18" s="464"/>
    </row>
    <row r="19" spans="1:47" ht="24.75" customHeight="1">
      <c r="A19" s="82" t="s">
        <v>103</v>
      </c>
      <c r="B19" s="43" t="s">
        <v>108</v>
      </c>
      <c r="C19" s="93"/>
      <c r="D19" s="75"/>
      <c r="E19" s="76"/>
      <c r="F19" s="75"/>
      <c r="G19" s="75"/>
      <c r="H19" s="76"/>
      <c r="I19" s="75"/>
      <c r="J19" s="75"/>
      <c r="K19" s="76"/>
      <c r="L19" s="75"/>
      <c r="M19" s="75"/>
      <c r="N19" s="75"/>
      <c r="O19" s="75"/>
      <c r="P19" s="75"/>
      <c r="Q19" s="80"/>
      <c r="R19" s="425"/>
      <c r="S19" s="428"/>
      <c r="T19" s="277"/>
      <c r="U19" s="271"/>
      <c r="V19" s="272"/>
      <c r="W19" s="277"/>
      <c r="X19" s="271"/>
      <c r="Y19" s="271"/>
      <c r="Z19" s="271"/>
      <c r="AA19" s="271"/>
      <c r="AB19" s="271"/>
      <c r="AC19" s="271"/>
      <c r="AD19" s="271"/>
      <c r="AE19" s="271"/>
      <c r="AF19" s="276"/>
      <c r="AG19" s="375">
        <f t="shared" si="0"/>
        <v>0</v>
      </c>
      <c r="AH19" s="77">
        <f t="shared" si="1"/>
        <v>0</v>
      </c>
      <c r="AI19" s="74"/>
      <c r="AJ19" s="430">
        <f t="shared" si="2"/>
        <v>0</v>
      </c>
      <c r="AK19" s="77">
        <f t="shared" si="3"/>
        <v>0</v>
      </c>
      <c r="AL19" s="74"/>
      <c r="AM19" s="77">
        <f t="shared" si="4"/>
        <v>0</v>
      </c>
      <c r="AN19" s="77">
        <f t="shared" si="5"/>
        <v>0</v>
      </c>
      <c r="AO19" s="74"/>
      <c r="AP19" s="77">
        <f t="shared" si="6"/>
        <v>0</v>
      </c>
      <c r="AQ19" s="77">
        <f t="shared" si="7"/>
        <v>0</v>
      </c>
      <c r="AR19" s="74"/>
      <c r="AS19" s="77">
        <f t="shared" si="8"/>
        <v>0</v>
      </c>
      <c r="AT19" s="77">
        <f t="shared" si="9"/>
        <v>0</v>
      </c>
      <c r="AU19" s="464"/>
    </row>
    <row r="20" spans="1:47" ht="24.75" customHeight="1">
      <c r="A20" s="41" t="s">
        <v>32</v>
      </c>
      <c r="B20" s="43" t="s">
        <v>90</v>
      </c>
      <c r="C20" s="93"/>
      <c r="D20" s="75"/>
      <c r="E20" s="76"/>
      <c r="F20" s="75"/>
      <c r="G20" s="75"/>
      <c r="H20" s="76"/>
      <c r="I20" s="75"/>
      <c r="J20" s="75"/>
      <c r="K20" s="76"/>
      <c r="L20" s="75"/>
      <c r="M20" s="75"/>
      <c r="N20" s="75"/>
      <c r="O20" s="75"/>
      <c r="P20" s="75"/>
      <c r="Q20" s="80"/>
      <c r="R20" s="425"/>
      <c r="S20" s="428"/>
      <c r="T20" s="277"/>
      <c r="U20" s="271"/>
      <c r="V20" s="272"/>
      <c r="W20" s="277"/>
      <c r="X20" s="271"/>
      <c r="Y20" s="271"/>
      <c r="Z20" s="271"/>
      <c r="AA20" s="271"/>
      <c r="AB20" s="271"/>
      <c r="AC20" s="271"/>
      <c r="AD20" s="271"/>
      <c r="AE20" s="271"/>
      <c r="AF20" s="276"/>
      <c r="AG20" s="375">
        <f t="shared" si="0"/>
        <v>0</v>
      </c>
      <c r="AH20" s="77">
        <f t="shared" si="1"/>
        <v>0</v>
      </c>
      <c r="AI20" s="74"/>
      <c r="AJ20" s="430">
        <f t="shared" si="2"/>
        <v>0</v>
      </c>
      <c r="AK20" s="77">
        <f t="shared" si="3"/>
        <v>0</v>
      </c>
      <c r="AL20" s="74"/>
      <c r="AM20" s="77">
        <f t="shared" si="4"/>
        <v>0</v>
      </c>
      <c r="AN20" s="77">
        <f t="shared" si="5"/>
        <v>0</v>
      </c>
      <c r="AO20" s="74"/>
      <c r="AP20" s="77">
        <f t="shared" si="6"/>
        <v>0</v>
      </c>
      <c r="AQ20" s="77">
        <f t="shared" si="7"/>
        <v>0</v>
      </c>
      <c r="AR20" s="74"/>
      <c r="AS20" s="77">
        <f t="shared" si="8"/>
        <v>0</v>
      </c>
      <c r="AT20" s="77">
        <f t="shared" si="9"/>
        <v>0</v>
      </c>
      <c r="AU20" s="464"/>
    </row>
    <row r="21" spans="1:47" ht="24.75" customHeight="1">
      <c r="A21" s="41" t="s">
        <v>33</v>
      </c>
      <c r="B21" s="43" t="s">
        <v>91</v>
      </c>
      <c r="C21" s="93"/>
      <c r="D21" s="75"/>
      <c r="E21" s="76"/>
      <c r="F21" s="75"/>
      <c r="G21" s="75"/>
      <c r="H21" s="76"/>
      <c r="I21" s="75"/>
      <c r="J21" s="75"/>
      <c r="K21" s="76"/>
      <c r="L21" s="75"/>
      <c r="M21" s="75"/>
      <c r="N21" s="75"/>
      <c r="O21" s="75"/>
      <c r="P21" s="75"/>
      <c r="Q21" s="80"/>
      <c r="R21" s="425"/>
      <c r="S21" s="428"/>
      <c r="T21" s="277"/>
      <c r="U21" s="271"/>
      <c r="V21" s="272"/>
      <c r="W21" s="277"/>
      <c r="X21" s="271"/>
      <c r="Y21" s="271"/>
      <c r="Z21" s="271"/>
      <c r="AA21" s="271"/>
      <c r="AB21" s="271"/>
      <c r="AC21" s="271"/>
      <c r="AD21" s="271"/>
      <c r="AE21" s="271"/>
      <c r="AF21" s="276"/>
      <c r="AG21" s="375">
        <f t="shared" si="0"/>
        <v>0</v>
      </c>
      <c r="AH21" s="77">
        <f t="shared" si="1"/>
        <v>0</v>
      </c>
      <c r="AI21" s="74"/>
      <c r="AJ21" s="430">
        <f t="shared" si="2"/>
        <v>0</v>
      </c>
      <c r="AK21" s="77">
        <f t="shared" si="3"/>
        <v>0</v>
      </c>
      <c r="AL21" s="74"/>
      <c r="AM21" s="77">
        <f t="shared" si="4"/>
        <v>0</v>
      </c>
      <c r="AN21" s="77">
        <f t="shared" si="5"/>
        <v>0</v>
      </c>
      <c r="AO21" s="74"/>
      <c r="AP21" s="77">
        <f t="shared" si="6"/>
        <v>0</v>
      </c>
      <c r="AQ21" s="77">
        <f t="shared" si="7"/>
        <v>0</v>
      </c>
      <c r="AR21" s="74"/>
      <c r="AS21" s="77">
        <f t="shared" si="8"/>
        <v>0</v>
      </c>
      <c r="AT21" s="77">
        <f t="shared" si="9"/>
        <v>0</v>
      </c>
      <c r="AU21" s="464"/>
    </row>
    <row r="22" spans="1:47" ht="24.75" customHeight="1">
      <c r="A22" s="41" t="s">
        <v>34</v>
      </c>
      <c r="B22" s="43" t="s">
        <v>92</v>
      </c>
      <c r="C22" s="93"/>
      <c r="D22" s="75"/>
      <c r="E22" s="76"/>
      <c r="F22" s="75"/>
      <c r="G22" s="75"/>
      <c r="H22" s="76"/>
      <c r="I22" s="75"/>
      <c r="J22" s="75"/>
      <c r="K22" s="76"/>
      <c r="L22" s="75"/>
      <c r="M22" s="75"/>
      <c r="N22" s="75"/>
      <c r="O22" s="75"/>
      <c r="P22" s="75"/>
      <c r="Q22" s="80"/>
      <c r="R22" s="425"/>
      <c r="S22" s="428"/>
      <c r="T22" s="277"/>
      <c r="U22" s="271"/>
      <c r="V22" s="272"/>
      <c r="W22" s="277"/>
      <c r="X22" s="271"/>
      <c r="Y22" s="271"/>
      <c r="Z22" s="271"/>
      <c r="AA22" s="271"/>
      <c r="AB22" s="271"/>
      <c r="AC22" s="271"/>
      <c r="AD22" s="271"/>
      <c r="AE22" s="271"/>
      <c r="AF22" s="276"/>
      <c r="AG22" s="375">
        <f t="shared" si="0"/>
        <v>0</v>
      </c>
      <c r="AH22" s="77">
        <f t="shared" si="1"/>
        <v>0</v>
      </c>
      <c r="AI22" s="74"/>
      <c r="AJ22" s="430">
        <f t="shared" si="2"/>
        <v>0</v>
      </c>
      <c r="AK22" s="77">
        <f t="shared" si="3"/>
        <v>0</v>
      </c>
      <c r="AL22" s="74"/>
      <c r="AM22" s="77">
        <f t="shared" si="4"/>
        <v>0</v>
      </c>
      <c r="AN22" s="77">
        <f t="shared" si="5"/>
        <v>0</v>
      </c>
      <c r="AO22" s="74"/>
      <c r="AP22" s="77">
        <f t="shared" si="6"/>
        <v>0</v>
      </c>
      <c r="AQ22" s="77">
        <f t="shared" si="7"/>
        <v>0</v>
      </c>
      <c r="AR22" s="74"/>
      <c r="AS22" s="77">
        <f t="shared" si="8"/>
        <v>0</v>
      </c>
      <c r="AT22" s="77">
        <f t="shared" si="9"/>
        <v>0</v>
      </c>
      <c r="AU22" s="464"/>
    </row>
    <row r="23" spans="1:47" ht="30" customHeight="1">
      <c r="A23" s="41" t="s">
        <v>104</v>
      </c>
      <c r="B23" s="43" t="s">
        <v>96</v>
      </c>
      <c r="C23" s="93"/>
      <c r="D23" s="75"/>
      <c r="E23" s="76"/>
      <c r="F23" s="75"/>
      <c r="G23" s="75"/>
      <c r="H23" s="76"/>
      <c r="I23" s="75"/>
      <c r="J23" s="75"/>
      <c r="K23" s="76"/>
      <c r="L23" s="75"/>
      <c r="M23" s="75"/>
      <c r="N23" s="75"/>
      <c r="O23" s="75"/>
      <c r="P23" s="75"/>
      <c r="Q23" s="80"/>
      <c r="R23" s="425"/>
      <c r="S23" s="428"/>
      <c r="T23" s="277"/>
      <c r="U23" s="271"/>
      <c r="V23" s="272"/>
      <c r="W23" s="277"/>
      <c r="X23" s="271"/>
      <c r="Y23" s="271"/>
      <c r="Z23" s="271"/>
      <c r="AA23" s="271"/>
      <c r="AB23" s="271"/>
      <c r="AC23" s="271"/>
      <c r="AD23" s="271"/>
      <c r="AE23" s="271"/>
      <c r="AF23" s="276"/>
      <c r="AG23" s="375">
        <f t="shared" si="0"/>
        <v>0</v>
      </c>
      <c r="AH23" s="77">
        <f t="shared" si="1"/>
        <v>0</v>
      </c>
      <c r="AI23" s="74"/>
      <c r="AJ23" s="430">
        <f t="shared" si="2"/>
        <v>0</v>
      </c>
      <c r="AK23" s="77">
        <f t="shared" si="3"/>
        <v>0</v>
      </c>
      <c r="AL23" s="74"/>
      <c r="AM23" s="77">
        <f t="shared" si="4"/>
        <v>0</v>
      </c>
      <c r="AN23" s="77">
        <f t="shared" si="5"/>
        <v>0</v>
      </c>
      <c r="AO23" s="74"/>
      <c r="AP23" s="77">
        <f t="shared" si="6"/>
        <v>0</v>
      </c>
      <c r="AQ23" s="77">
        <f t="shared" si="7"/>
        <v>0</v>
      </c>
      <c r="AR23" s="74"/>
      <c r="AS23" s="77">
        <f t="shared" si="8"/>
        <v>0</v>
      </c>
      <c r="AT23" s="77">
        <f t="shared" si="9"/>
        <v>0</v>
      </c>
      <c r="AU23" s="464"/>
    </row>
    <row r="24" spans="1:47" ht="24.75" customHeight="1">
      <c r="A24" s="41" t="s">
        <v>105</v>
      </c>
      <c r="B24" s="43" t="s">
        <v>94</v>
      </c>
      <c r="C24" s="93"/>
      <c r="D24" s="75"/>
      <c r="E24" s="76"/>
      <c r="F24" s="75"/>
      <c r="G24" s="75"/>
      <c r="H24" s="76"/>
      <c r="I24" s="75"/>
      <c r="J24" s="75"/>
      <c r="K24" s="76"/>
      <c r="L24" s="75"/>
      <c r="M24" s="75"/>
      <c r="N24" s="75"/>
      <c r="O24" s="75"/>
      <c r="P24" s="75"/>
      <c r="Q24" s="80"/>
      <c r="R24" s="425"/>
      <c r="S24" s="428"/>
      <c r="T24" s="277"/>
      <c r="U24" s="271"/>
      <c r="V24" s="272"/>
      <c r="W24" s="277"/>
      <c r="X24" s="271"/>
      <c r="Y24" s="271"/>
      <c r="Z24" s="271"/>
      <c r="AA24" s="271"/>
      <c r="AB24" s="271"/>
      <c r="AC24" s="271"/>
      <c r="AD24" s="271"/>
      <c r="AE24" s="271"/>
      <c r="AF24" s="276"/>
      <c r="AG24" s="375">
        <f t="shared" si="0"/>
        <v>0</v>
      </c>
      <c r="AH24" s="77">
        <f t="shared" si="1"/>
        <v>0</v>
      </c>
      <c r="AI24" s="74"/>
      <c r="AJ24" s="430">
        <f t="shared" si="2"/>
        <v>0</v>
      </c>
      <c r="AK24" s="77">
        <f t="shared" si="3"/>
        <v>0</v>
      </c>
      <c r="AL24" s="74"/>
      <c r="AM24" s="77">
        <f t="shared" si="4"/>
        <v>0</v>
      </c>
      <c r="AN24" s="77">
        <f t="shared" si="5"/>
        <v>0</v>
      </c>
      <c r="AO24" s="74"/>
      <c r="AP24" s="77">
        <f t="shared" si="6"/>
        <v>0</v>
      </c>
      <c r="AQ24" s="77">
        <f t="shared" si="7"/>
        <v>0</v>
      </c>
      <c r="AR24" s="74"/>
      <c r="AS24" s="77">
        <f t="shared" si="8"/>
        <v>0</v>
      </c>
      <c r="AT24" s="77">
        <f t="shared" si="9"/>
        <v>0</v>
      </c>
      <c r="AU24" s="464"/>
    </row>
    <row r="25" spans="1:47" ht="24.75" customHeight="1">
      <c r="A25" s="40">
        <v>3</v>
      </c>
      <c r="B25" s="44" t="s">
        <v>97</v>
      </c>
      <c r="C25" s="92">
        <v>61</v>
      </c>
      <c r="D25" s="73">
        <v>41</v>
      </c>
      <c r="E25" s="74">
        <f>D25/C25</f>
        <v>0.6721311475409836</v>
      </c>
      <c r="F25" s="75"/>
      <c r="G25" s="75"/>
      <c r="H25" s="76"/>
      <c r="I25" s="73"/>
      <c r="J25" s="73"/>
      <c r="K25" s="74"/>
      <c r="L25" s="75"/>
      <c r="M25" s="75"/>
      <c r="N25" s="75"/>
      <c r="O25" s="75"/>
      <c r="P25" s="75"/>
      <c r="Q25" s="80"/>
      <c r="R25" s="426">
        <v>68</v>
      </c>
      <c r="S25" s="428">
        <f>SUM(S26:S29)</f>
        <v>98</v>
      </c>
      <c r="T25" s="270">
        <f>S25/R25</f>
        <v>1.4411764705882353</v>
      </c>
      <c r="U25" s="271"/>
      <c r="V25" s="272"/>
      <c r="W25" s="277"/>
      <c r="X25" s="271"/>
      <c r="Y25" s="271"/>
      <c r="Z25" s="271"/>
      <c r="AA25" s="271">
        <v>0</v>
      </c>
      <c r="AB25" s="428">
        <v>15</v>
      </c>
      <c r="AC25" s="270"/>
      <c r="AD25" s="271"/>
      <c r="AE25" s="271"/>
      <c r="AF25" s="276"/>
      <c r="AG25" s="375">
        <f t="shared" si="0"/>
        <v>129</v>
      </c>
      <c r="AH25" s="77">
        <f t="shared" si="1"/>
        <v>139</v>
      </c>
      <c r="AI25" s="74">
        <f>AH25/AG25</f>
        <v>1.0775193798449612</v>
      </c>
      <c r="AJ25" s="430">
        <f t="shared" si="2"/>
        <v>0</v>
      </c>
      <c r="AK25" s="77">
        <f t="shared" si="3"/>
        <v>0</v>
      </c>
      <c r="AL25" s="74"/>
      <c r="AM25" s="77">
        <f t="shared" si="4"/>
        <v>0</v>
      </c>
      <c r="AN25" s="77">
        <f t="shared" si="5"/>
        <v>0</v>
      </c>
      <c r="AO25" s="74"/>
      <c r="AP25" s="77">
        <f t="shared" si="6"/>
        <v>0</v>
      </c>
      <c r="AQ25" s="77">
        <f t="shared" si="7"/>
        <v>15</v>
      </c>
      <c r="AR25" s="74"/>
      <c r="AS25" s="77">
        <f t="shared" si="8"/>
        <v>0</v>
      </c>
      <c r="AT25" s="77">
        <f t="shared" si="9"/>
        <v>0</v>
      </c>
      <c r="AU25" s="464"/>
    </row>
    <row r="26" spans="1:47" ht="24.75" customHeight="1">
      <c r="A26" s="41" t="s">
        <v>35</v>
      </c>
      <c r="B26" s="43" t="s">
        <v>75</v>
      </c>
      <c r="C26" s="92">
        <v>48</v>
      </c>
      <c r="D26" s="73">
        <v>39</v>
      </c>
      <c r="E26" s="74">
        <f>D26/C26</f>
        <v>0.8125</v>
      </c>
      <c r="F26" s="73">
        <v>9</v>
      </c>
      <c r="G26" s="73"/>
      <c r="H26" s="74">
        <f>G26/F26</f>
        <v>0</v>
      </c>
      <c r="I26" s="73">
        <v>4</v>
      </c>
      <c r="J26" s="73">
        <v>2</v>
      </c>
      <c r="K26" s="74">
        <f>J26/I26</f>
        <v>0.5</v>
      </c>
      <c r="L26" s="75"/>
      <c r="M26" s="75"/>
      <c r="N26" s="75"/>
      <c r="O26" s="73"/>
      <c r="P26" s="73"/>
      <c r="Q26" s="81"/>
      <c r="R26" s="426">
        <v>32</v>
      </c>
      <c r="S26" s="428">
        <v>43</v>
      </c>
      <c r="T26" s="270">
        <f>S26/R26</f>
        <v>1.34375</v>
      </c>
      <c r="U26" s="271"/>
      <c r="V26" s="272"/>
      <c r="W26" s="277"/>
      <c r="X26" s="271"/>
      <c r="Y26" s="271"/>
      <c r="Z26" s="271"/>
      <c r="AA26" s="271">
        <v>0</v>
      </c>
      <c r="AB26" s="428">
        <v>9</v>
      </c>
      <c r="AC26" s="270"/>
      <c r="AD26" s="271"/>
      <c r="AE26" s="271"/>
      <c r="AF26" s="276"/>
      <c r="AG26" s="375">
        <f t="shared" si="0"/>
        <v>80</v>
      </c>
      <c r="AH26" s="77">
        <f t="shared" si="1"/>
        <v>82</v>
      </c>
      <c r="AI26" s="74">
        <f>AH26/AG26</f>
        <v>1.025</v>
      </c>
      <c r="AJ26" s="430">
        <f t="shared" si="2"/>
        <v>9</v>
      </c>
      <c r="AK26" s="77">
        <f t="shared" si="3"/>
        <v>0</v>
      </c>
      <c r="AL26" s="74">
        <f>AK26/AJ26</f>
        <v>0</v>
      </c>
      <c r="AM26" s="77">
        <f t="shared" si="4"/>
        <v>4</v>
      </c>
      <c r="AN26" s="77">
        <f t="shared" si="5"/>
        <v>2</v>
      </c>
      <c r="AO26" s="74">
        <f>AN26/AM26</f>
        <v>0.5</v>
      </c>
      <c r="AP26" s="77">
        <f t="shared" si="6"/>
        <v>0</v>
      </c>
      <c r="AQ26" s="77">
        <f t="shared" si="7"/>
        <v>9</v>
      </c>
      <c r="AR26" s="74"/>
      <c r="AS26" s="77">
        <f t="shared" si="8"/>
        <v>0</v>
      </c>
      <c r="AT26" s="77">
        <f t="shared" si="9"/>
        <v>0</v>
      </c>
      <c r="AU26" s="464"/>
    </row>
    <row r="27" spans="1:47" ht="46.5" customHeight="1">
      <c r="A27" s="41" t="s">
        <v>36</v>
      </c>
      <c r="B27" s="43" t="s">
        <v>98</v>
      </c>
      <c r="C27" s="93"/>
      <c r="D27" s="75"/>
      <c r="E27" s="76"/>
      <c r="F27" s="75"/>
      <c r="G27" s="75"/>
      <c r="H27" s="76"/>
      <c r="I27" s="75"/>
      <c r="J27" s="75"/>
      <c r="K27" s="76"/>
      <c r="L27" s="75"/>
      <c r="M27" s="75"/>
      <c r="N27" s="75"/>
      <c r="O27" s="75"/>
      <c r="P27" s="75"/>
      <c r="Q27" s="80"/>
      <c r="R27" s="425"/>
      <c r="S27" s="428"/>
      <c r="T27" s="277"/>
      <c r="U27" s="271"/>
      <c r="V27" s="272"/>
      <c r="W27" s="277"/>
      <c r="X27" s="271"/>
      <c r="Y27" s="271"/>
      <c r="Z27" s="271"/>
      <c r="AA27" s="271"/>
      <c r="AB27" s="271"/>
      <c r="AC27" s="271"/>
      <c r="AD27" s="271"/>
      <c r="AE27" s="271"/>
      <c r="AF27" s="276"/>
      <c r="AG27" s="375">
        <f t="shared" si="0"/>
        <v>0</v>
      </c>
      <c r="AH27" s="77">
        <f t="shared" si="1"/>
        <v>0</v>
      </c>
      <c r="AI27" s="74"/>
      <c r="AJ27" s="430">
        <f t="shared" si="2"/>
        <v>0</v>
      </c>
      <c r="AK27" s="77">
        <f t="shared" si="3"/>
        <v>0</v>
      </c>
      <c r="AL27" s="74"/>
      <c r="AM27" s="77">
        <f t="shared" si="4"/>
        <v>0</v>
      </c>
      <c r="AN27" s="77">
        <f t="shared" si="5"/>
        <v>0</v>
      </c>
      <c r="AO27" s="74"/>
      <c r="AP27" s="77">
        <f t="shared" si="6"/>
        <v>0</v>
      </c>
      <c r="AQ27" s="77">
        <f t="shared" si="7"/>
        <v>0</v>
      </c>
      <c r="AR27" s="74"/>
      <c r="AS27" s="77">
        <f t="shared" si="8"/>
        <v>0</v>
      </c>
      <c r="AT27" s="77">
        <f t="shared" si="9"/>
        <v>0</v>
      </c>
      <c r="AU27" s="464"/>
    </row>
    <row r="28" spans="1:47" ht="27" customHeight="1">
      <c r="A28" s="41" t="s">
        <v>37</v>
      </c>
      <c r="B28" s="43" t="s">
        <v>99</v>
      </c>
      <c r="C28" s="93"/>
      <c r="D28" s="75"/>
      <c r="E28" s="76"/>
      <c r="F28" s="75"/>
      <c r="G28" s="75"/>
      <c r="H28" s="76"/>
      <c r="I28" s="75"/>
      <c r="J28" s="75"/>
      <c r="K28" s="76"/>
      <c r="L28" s="75"/>
      <c r="M28" s="75"/>
      <c r="N28" s="75"/>
      <c r="O28" s="75"/>
      <c r="P28" s="75"/>
      <c r="Q28" s="80"/>
      <c r="R28" s="425"/>
      <c r="S28" s="428"/>
      <c r="T28" s="277"/>
      <c r="U28" s="271"/>
      <c r="V28" s="272"/>
      <c r="W28" s="277"/>
      <c r="X28" s="271"/>
      <c r="Y28" s="271"/>
      <c r="Z28" s="271"/>
      <c r="AA28" s="271"/>
      <c r="AB28" s="271"/>
      <c r="AC28" s="271"/>
      <c r="AD28" s="271"/>
      <c r="AE28" s="271"/>
      <c r="AF28" s="276"/>
      <c r="AG28" s="375">
        <f t="shared" si="0"/>
        <v>0</v>
      </c>
      <c r="AH28" s="77">
        <f t="shared" si="1"/>
        <v>0</v>
      </c>
      <c r="AI28" s="74"/>
      <c r="AJ28" s="430">
        <f t="shared" si="2"/>
        <v>0</v>
      </c>
      <c r="AK28" s="77">
        <f t="shared" si="3"/>
        <v>0</v>
      </c>
      <c r="AL28" s="74"/>
      <c r="AM28" s="77">
        <f t="shared" si="4"/>
        <v>0</v>
      </c>
      <c r="AN28" s="77">
        <f t="shared" si="5"/>
        <v>0</v>
      </c>
      <c r="AO28" s="74"/>
      <c r="AP28" s="77">
        <f t="shared" si="6"/>
        <v>0</v>
      </c>
      <c r="AQ28" s="77">
        <f t="shared" si="7"/>
        <v>0</v>
      </c>
      <c r="AR28" s="74"/>
      <c r="AS28" s="77">
        <f t="shared" si="8"/>
        <v>0</v>
      </c>
      <c r="AT28" s="77">
        <f t="shared" si="9"/>
        <v>0</v>
      </c>
      <c r="AU28" s="464"/>
    </row>
    <row r="29" spans="1:47" ht="31.5" customHeight="1" thickBot="1">
      <c r="A29" s="83" t="s">
        <v>38</v>
      </c>
      <c r="B29" s="90" t="s">
        <v>94</v>
      </c>
      <c r="C29" s="95"/>
      <c r="D29" s="84"/>
      <c r="E29" s="85"/>
      <c r="F29" s="86"/>
      <c r="G29" s="86"/>
      <c r="H29" s="87"/>
      <c r="I29" s="86"/>
      <c r="J29" s="86"/>
      <c r="K29" s="87"/>
      <c r="L29" s="86"/>
      <c r="M29" s="86"/>
      <c r="N29" s="86"/>
      <c r="O29" s="86"/>
      <c r="P29" s="86"/>
      <c r="Q29" s="88"/>
      <c r="R29" s="427">
        <v>36</v>
      </c>
      <c r="S29" s="429">
        <v>55</v>
      </c>
      <c r="T29" s="278">
        <f>S29/R29</f>
        <v>1.5277777777777777</v>
      </c>
      <c r="U29" s="279"/>
      <c r="V29" s="280"/>
      <c r="W29" s="279"/>
      <c r="X29" s="279"/>
      <c r="Y29" s="279"/>
      <c r="Z29" s="279"/>
      <c r="AA29" s="279"/>
      <c r="AB29" s="429">
        <v>6</v>
      </c>
      <c r="AC29" s="279"/>
      <c r="AD29" s="279"/>
      <c r="AE29" s="279"/>
      <c r="AF29" s="279"/>
      <c r="AG29" s="459">
        <f t="shared" si="0"/>
        <v>36</v>
      </c>
      <c r="AH29" s="460">
        <f t="shared" si="1"/>
        <v>55</v>
      </c>
      <c r="AI29" s="461">
        <f>AH29/AG29</f>
        <v>1.5277777777777777</v>
      </c>
      <c r="AJ29" s="462">
        <f t="shared" si="2"/>
        <v>0</v>
      </c>
      <c r="AK29" s="460">
        <f t="shared" si="3"/>
        <v>0</v>
      </c>
      <c r="AL29" s="461"/>
      <c r="AM29" s="460">
        <f t="shared" si="4"/>
        <v>0</v>
      </c>
      <c r="AN29" s="460">
        <f t="shared" si="5"/>
        <v>0</v>
      </c>
      <c r="AO29" s="461"/>
      <c r="AP29" s="460">
        <f t="shared" si="6"/>
        <v>0</v>
      </c>
      <c r="AQ29" s="460">
        <f t="shared" si="7"/>
        <v>6</v>
      </c>
      <c r="AR29" s="461"/>
      <c r="AS29" s="460">
        <f t="shared" si="8"/>
        <v>0</v>
      </c>
      <c r="AT29" s="460">
        <f t="shared" si="9"/>
        <v>0</v>
      </c>
      <c r="AU29" s="463"/>
    </row>
    <row r="30" spans="8:47" ht="15">
      <c r="H30" s="29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4" spans="5:7" ht="15">
      <c r="E34" s="29"/>
      <c r="F34" s="29"/>
      <c r="G34" s="30"/>
    </row>
    <row r="35" spans="5:7" ht="15">
      <c r="E35" s="30"/>
      <c r="F35" s="30"/>
      <c r="G35" s="30"/>
    </row>
    <row r="36" spans="5:7" ht="15">
      <c r="E36" s="30"/>
      <c r="F36" s="30"/>
      <c r="G36" s="29"/>
    </row>
    <row r="37" spans="5:7" ht="15">
      <c r="E37" s="30"/>
      <c r="F37" s="30"/>
      <c r="G37" s="30"/>
    </row>
  </sheetData>
  <sheetProtection/>
  <mergeCells count="25">
    <mergeCell ref="AG4:AU4"/>
    <mergeCell ref="AG5:AU5"/>
    <mergeCell ref="AG6:AI6"/>
    <mergeCell ref="AJ6:AL6"/>
    <mergeCell ref="AM6:AO6"/>
    <mergeCell ref="AP6:AR6"/>
    <mergeCell ref="AS6:AU6"/>
    <mergeCell ref="A4:A7"/>
    <mergeCell ref="R4:AF4"/>
    <mergeCell ref="R5:AF5"/>
    <mergeCell ref="R6:T6"/>
    <mergeCell ref="U6:W6"/>
    <mergeCell ref="X6:Z6"/>
    <mergeCell ref="AA6:AC6"/>
    <mergeCell ref="AD6:AF6"/>
    <mergeCell ref="A1:Q1"/>
    <mergeCell ref="A3:Q3"/>
    <mergeCell ref="C5:Q5"/>
    <mergeCell ref="C6:E6"/>
    <mergeCell ref="F6:H6"/>
    <mergeCell ref="I6:K6"/>
    <mergeCell ref="L6:N6"/>
    <mergeCell ref="O6:Q6"/>
    <mergeCell ref="C4:Q4"/>
    <mergeCell ref="B4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2018-03-26T06:54:39Z</dcterms:modified>
  <cp:category/>
  <cp:version/>
  <cp:contentType/>
  <cp:contentStatus/>
</cp:coreProperties>
</file>