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45" windowHeight="11040" activeTab="0"/>
  </bookViews>
  <sheets>
    <sheet name="Расходы   2016г 9 мес." sheetId="1" r:id="rId1"/>
    <sheet name="Расходы   2016г 1 полугодие " sheetId="2" r:id="rId2"/>
    <sheet name="Расходы   2016г 1 квартал" sheetId="3" r:id="rId3"/>
  </sheets>
  <definedNames>
    <definedName name="_xlnm.Print_Area" localSheetId="2">'Расходы   2016г 1 квартал'!$A$1:$S$96</definedName>
    <definedName name="_xlnm.Print_Area" localSheetId="1">'Расходы   2016г 1 полугодие '!$A$1:$S$97</definedName>
    <definedName name="_xlnm.Print_Area" localSheetId="0">'Расходы   2016г 9 мес.'!$A$1:$S$97</definedName>
  </definedNames>
  <calcPr fullCalcOnLoad="1" refMode="R1C1"/>
</workbook>
</file>

<file path=xl/comments1.xml><?xml version="1.0" encoding="utf-8"?>
<comments xmlns="http://schemas.openxmlformats.org/spreadsheetml/2006/main">
  <authors>
    <author>Вера Васильевна Ульянкова</author>
  </authors>
  <commentList>
    <comment ref="R20" authorId="0">
      <text>
        <r>
          <rPr>
            <b/>
            <sz val="9"/>
            <rFont val="Tahoma"/>
            <family val="2"/>
          </rPr>
          <t>Вера Васильевна Ульянкова:</t>
        </r>
        <r>
          <rPr>
            <sz val="9"/>
            <rFont val="Tahoma"/>
            <family val="2"/>
          </rPr>
          <t xml:space="preserve">
включена  сумма 1582,314 тыс.руб - модернизация арендованных ОС</t>
        </r>
      </text>
    </comment>
  </commentList>
</comments>
</file>

<file path=xl/comments2.xml><?xml version="1.0" encoding="utf-8"?>
<comments xmlns="http://schemas.openxmlformats.org/spreadsheetml/2006/main">
  <authors>
    <author>Вера Васильевна Ульянкова</author>
  </authors>
  <commentList>
    <comment ref="R20" authorId="0">
      <text>
        <r>
          <rPr>
            <b/>
            <sz val="9"/>
            <rFont val="Tahoma"/>
            <family val="2"/>
          </rPr>
          <t>Вера Васильевна Ульянкова:</t>
        </r>
        <r>
          <rPr>
            <sz val="9"/>
            <rFont val="Tahoma"/>
            <family val="2"/>
          </rPr>
          <t xml:space="preserve">
включена  сумма 1582,314 тыс.руб - модернизация арендованных ОС</t>
        </r>
      </text>
    </comment>
  </commentList>
</comments>
</file>

<file path=xl/sharedStrings.xml><?xml version="1.0" encoding="utf-8"?>
<sst xmlns="http://schemas.openxmlformats.org/spreadsheetml/2006/main" count="796" uniqueCount="151">
  <si>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</si>
  <si>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</si>
  <si>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</si>
  <si>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</si>
  <si>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Период заполнения:</t>
  </si>
  <si>
    <t>Годовая, Квартальная</t>
  </si>
  <si>
    <t>Требования к заполнению:</t>
  </si>
  <si>
    <t>Заполняется отдельно по каждому субъекту РФ</t>
  </si>
  <si>
    <t>Показатель</t>
  </si>
  <si>
    <t>Единица измерения</t>
  </si>
  <si>
    <t>Код показа-теля</t>
  </si>
  <si>
    <t>из графы 4:
по Субъекту РФ, указанному в заголовке формы</t>
  </si>
  <si>
    <t>из графы 5 по видам деятельности *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</si>
  <si>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</si>
  <si>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</si>
  <si>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из графы 10 по видам деятельности *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</si>
  <si>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</si>
  <si>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распредели-тельным сетям</t>
  </si>
  <si>
    <t>Техноло-гическое присоеди-нение</t>
  </si>
  <si>
    <t>Передача
и технологическое присоединение</t>
  </si>
  <si>
    <t>Тепловая энергия</t>
  </si>
  <si>
    <t>Прочие виды деятельности</t>
  </si>
  <si>
    <t>Технологическое присоединение</t>
  </si>
  <si>
    <t>Передача
и технологичес-кое присоеди-нение</t>
  </si>
  <si>
    <t>Прочие виды деятель-ности</t>
  </si>
  <si>
    <t>Расходы, учитываемые в целях налогообложения прибыли, всего, в том числе (сумма строк 110, 120, 130, 140, 150, 160, 170, 180, 190)</t>
  </si>
  <si>
    <t>тыс. руб.</t>
  </si>
  <si>
    <t>100</t>
  </si>
  <si>
    <t>Материальные расходы (сумма строк 111, 112, 113)</t>
  </si>
  <si>
    <t>110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</si>
  <si>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</si>
  <si>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</si>
  <si>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</si>
  <si>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</si>
  <si>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</si>
  <si>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</si>
  <si>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</si>
  <si>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</si>
  <si>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</si>
  <si>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</si>
  <si>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</si>
  <si>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120</t>
  </si>
  <si>
    <t>Расходы на страхование</t>
  </si>
  <si>
    <t>121</t>
  </si>
  <si>
    <t>Оплата услуг ОАО "ФСК ЕЭС"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</si>
  <si>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</si>
  <si>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</si>
  <si>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</si>
  <si>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</si>
  <si>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</si>
  <si>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</si>
  <si>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130</t>
  </si>
  <si>
    <t>Управленческий персонал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</si>
  <si>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</si>
  <si>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</si>
  <si>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</si>
  <si>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</si>
  <si>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</si>
  <si>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Амортизация основных средств</t>
  </si>
  <si>
    <t>150</t>
  </si>
  <si>
    <t>Аренда и лизинговые платежи (сумма строк 161, 162)</t>
  </si>
  <si>
    <t>160</t>
  </si>
  <si>
    <t>Плата за аренду имущества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</si>
  <si>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</si>
  <si>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</si>
  <si>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</si>
  <si>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</si>
  <si>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</si>
  <si>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</si>
  <si>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</si>
  <si>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Прочие расходы</t>
  </si>
  <si>
    <t>190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</si>
  <si>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</si>
  <si>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</si>
  <si>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</si>
  <si>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</si>
  <si>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</si>
  <si>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</si>
  <si>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</si>
  <si>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</si>
  <si>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</si>
  <si>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</si>
  <si>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</si>
  <si>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</si>
  <si>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</si>
  <si>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</si>
  <si>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</si>
  <si>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</si>
  <si>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</si>
  <si>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</si>
  <si>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</si>
  <si>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</si>
  <si>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</si>
  <si>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</si>
  <si>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</si>
  <si>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</si>
  <si>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</si>
  <si>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</si>
  <si>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</si>
  <si>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</si>
  <si>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</si>
  <si>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t xml:space="preserve">Примечания: </t>
  </si>
  <si>
    <t>Приложение к таблице 1.6</t>
  </si>
  <si>
    <t>Расшифровка дебиторской задолженности, заемных средств и стоимости активов</t>
  </si>
  <si>
    <t>По состоянию на начало отчетного периода,
всего по предприятию</t>
  </si>
  <si>
    <t>По состоянию на конец отчетного периода,
всего по предприятию</t>
  </si>
  <si>
    <t>Передача
по расп-редели-тельным сетям</t>
  </si>
  <si>
    <t>Передача
и технологическое присоеди-нение</t>
  </si>
  <si>
    <t>Дебиторская задолженность</t>
  </si>
  <si>
    <t>900</t>
  </si>
  <si>
    <t>х</t>
  </si>
  <si>
    <t>в том числе по расчетам с покупателями и заказчиками</t>
  </si>
  <si>
    <t>-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</si>
  <si>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</si>
  <si>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</si>
  <si>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</si>
  <si>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1100</t>
  </si>
  <si>
    <t>Основные средства</t>
  </si>
  <si>
    <t>1200</t>
  </si>
  <si>
    <t>Арендованные основные средства</t>
  </si>
  <si>
    <t>1300</t>
  </si>
  <si>
    <t>Незавершенное строительство</t>
  </si>
  <si>
    <t>1400</t>
  </si>
  <si>
    <t>Руководитель</t>
  </si>
  <si>
    <t>Главный бухгалтер</t>
  </si>
  <si>
    <t>_____*_Полное наименование видов деятельности:</t>
  </si>
  <si>
    <t>_______гр. 6, 12 - оказание услуг по передаче электрической энергии (мощности) по единой национальной (общероссийской) электрической сети;</t>
  </si>
  <si>
    <t>_______гр. 7, 13 - оказание услуг по технологическому присоединению к электрическим сетям.</t>
  </si>
  <si>
    <t>____**_В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</si>
  <si>
    <t>Идентификационный номер налогоплательщика (ИНН): 519 090 714 39</t>
  </si>
  <si>
    <t>Местонахождение (адрес): 183034  г. Мурманск, ул. Свердлова д. ,39</t>
  </si>
  <si>
    <t>Субъект РФ: Мурманская область</t>
  </si>
  <si>
    <t>Примечание:</t>
  </si>
  <si>
    <t>Сетевая организация  Акционерное общество  "Мурманэнергосбыт"  (АО "МЭС")  ( филиалы "Ковдорская электросеть" и "Заполярная горэлектросеть"  )  находятся  в  составе  теплоэнергетического  предприятия,  филиалы  не  имеют статуса  юридического лица.</t>
  </si>
  <si>
    <t>Организация: Акционерное общество  "Мурманэнергосбыт"    ( филиал "Ковдорская электросеть", филиал "Заполярная горэлектросеть)</t>
  </si>
  <si>
    <t>Специалисты и технические руководители</t>
  </si>
  <si>
    <t>Генеральный директор  АО "МЭС"</t>
  </si>
  <si>
    <t>А.Ю. Филиппов</t>
  </si>
  <si>
    <r>
      <t xml:space="preserve">Отчетный период:  </t>
    </r>
    <r>
      <rPr>
        <b/>
        <sz val="10"/>
        <color indexed="10"/>
        <rFont val="Times New Roman"/>
        <family val="1"/>
      </rPr>
      <t xml:space="preserve"> 1  квартал  2016г</t>
    </r>
  </si>
  <si>
    <r>
      <t xml:space="preserve">За отчетный период, всего по предприятию </t>
    </r>
    <r>
      <rPr>
        <sz val="8"/>
        <color indexed="10"/>
        <rFont val="Times New Roman"/>
        <family val="1"/>
      </rPr>
      <t xml:space="preserve"> 1  квартал  2016г</t>
    </r>
  </si>
  <si>
    <r>
      <t xml:space="preserve">Передача
по распредели-тельным сетям               </t>
    </r>
    <r>
      <rPr>
        <sz val="8"/>
        <color indexed="10"/>
        <rFont val="Times New Roman"/>
        <family val="1"/>
      </rPr>
      <t>1  квартал 2015г</t>
    </r>
  </si>
  <si>
    <t>Л.В.Дмитриева</t>
  </si>
  <si>
    <t>Исп. Ульянкова В.В. 8(815-35)7-37-35</t>
  </si>
  <si>
    <t xml:space="preserve">          Коткова Т.М.</t>
  </si>
  <si>
    <r>
      <t xml:space="preserve">Передача
по распредели-тельным сетям               </t>
    </r>
    <r>
      <rPr>
        <sz val="8"/>
        <color indexed="10"/>
        <rFont val="Times New Roman"/>
        <family val="1"/>
      </rPr>
      <t xml:space="preserve">9 месяцев  </t>
    </r>
    <r>
      <rPr>
        <sz val="8"/>
        <color indexed="10"/>
        <rFont val="Times New Roman"/>
        <family val="1"/>
      </rPr>
      <t xml:space="preserve"> 2015г</t>
    </r>
  </si>
  <si>
    <r>
      <t xml:space="preserve">Отчетный период:  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36"/>
        <rFont val="Times New Roman"/>
        <family val="1"/>
      </rPr>
      <t>1-е полугодие 2016</t>
    </r>
  </si>
  <si>
    <r>
      <t xml:space="preserve">За отчетный период, всего по предприятию </t>
    </r>
    <r>
      <rPr>
        <sz val="8"/>
        <color indexed="10"/>
        <rFont val="Times New Roman"/>
        <family val="1"/>
      </rPr>
      <t xml:space="preserve"> </t>
    </r>
    <r>
      <rPr>
        <sz val="8"/>
        <color indexed="36"/>
        <rFont val="Times New Roman"/>
        <family val="1"/>
      </rPr>
      <t>1-е полугодие  2016г</t>
    </r>
  </si>
  <si>
    <r>
      <t xml:space="preserve">Передача
по распредели-тельным сетям               </t>
    </r>
    <r>
      <rPr>
        <sz val="8"/>
        <color indexed="36"/>
        <rFont val="Times New Roman"/>
        <family val="1"/>
      </rPr>
      <t>1-е полугодие  2015г</t>
    </r>
  </si>
  <si>
    <t>Отчетный период:   9 месяцев 2016</t>
  </si>
  <si>
    <t>За отчетный период, всего по предприятию  9 месяцев  2016г</t>
  </si>
  <si>
    <t>из графы 11: по Субъекту РФ, указанному в заголовке формы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</si>
</sst>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00_ ;\-#,##0.000\ "/>
    <numFmt numFmtId="183" formatCode="0.000"/>
    <numFmt numFmtId="184" formatCode="0.0"/>
    <numFmt numFmtId="185" formatCode="_-* #,##0.0_р_._-;\-* #,##0.0_р_._-;_-* &quot;-&quot;??_р_._-;_-@_-"/>
    <numFmt numFmtId="186" formatCode="_-* #,##0_р_._-;\-* #,##0_р_._-;_-* &quot;-&quot;??_р_._-;_-@_-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b/>
      <sz val="10"/>
      <color indexed="36"/>
      <name val="Times New Roman"/>
      <family val="1"/>
    </font>
    <font>
      <sz val="8"/>
      <color indexed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9"/>
      <name val="Times New Roman"/>
      <family val="1"/>
    </font>
    <font>
      <sz val="6"/>
      <color indexed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0"/>
      <name val="Times New Roman"/>
      <family val="1"/>
    </font>
    <font>
      <sz val="6"/>
      <color theme="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FFEF"/>
        <bgColor indexed="64"/>
      </patternFill>
    </fill>
    <fill>
      <patternFill patternType="solid">
        <fgColor rgb="FFFFEFFC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FFE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left"/>
    </xf>
    <xf numFmtId="0" fontId="59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180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180" fontId="7" fillId="33" borderId="12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5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top"/>
    </xf>
    <xf numFmtId="0" fontId="8" fillId="33" borderId="12" xfId="0" applyNumberFormat="1" applyFont="1" applyFill="1" applyBorder="1" applyAlignment="1">
      <alignment horizontal="center" vertical="top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5" borderId="12" xfId="0" applyNumberFormat="1" applyFont="1" applyFill="1" applyBorder="1" applyAlignment="1">
      <alignment horizontal="center" vertical="top"/>
    </xf>
    <xf numFmtId="0" fontId="8" fillId="35" borderId="12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/>
    </xf>
    <xf numFmtId="0" fontId="8" fillId="0" borderId="13" xfId="0" applyNumberFormat="1" applyFont="1" applyFill="1" applyBorder="1" applyAlignment="1">
      <alignment horizontal="center" vertical="top"/>
    </xf>
    <xf numFmtId="0" fontId="8" fillId="0" borderId="13" xfId="0" applyNumberFormat="1" applyFont="1" applyFill="1" applyBorder="1" applyAlignment="1">
      <alignment horizontal="center" vertical="top" wrapText="1"/>
    </xf>
    <xf numFmtId="3" fontId="60" fillId="0" borderId="12" xfId="0" applyNumberFormat="1" applyFont="1" applyFill="1" applyBorder="1" applyAlignment="1">
      <alignment horizontal="center" vertical="center"/>
    </xf>
    <xf numFmtId="3" fontId="61" fillId="33" borderId="12" xfId="0" applyNumberFormat="1" applyFont="1" applyFill="1" applyBorder="1" applyAlignment="1">
      <alignment horizontal="center" vertical="center"/>
    </xf>
    <xf numFmtId="3" fontId="62" fillId="33" borderId="12" xfId="0" applyNumberFormat="1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/>
    </xf>
    <xf numFmtId="3" fontId="60" fillId="33" borderId="12" xfId="0" applyNumberFormat="1" applyFont="1" applyFill="1" applyBorder="1" applyAlignment="1">
      <alignment horizontal="center" vertical="center"/>
    </xf>
    <xf numFmtId="3" fontId="7" fillId="36" borderId="12" xfId="0" applyNumberFormat="1" applyFont="1" applyFill="1" applyBorder="1" applyAlignment="1">
      <alignment horizontal="center" vertical="center"/>
    </xf>
    <xf numFmtId="49" fontId="61" fillId="0" borderId="12" xfId="0" applyNumberFormat="1" applyFont="1" applyFill="1" applyBorder="1" applyAlignment="1">
      <alignment horizontal="center" vertical="center"/>
    </xf>
    <xf numFmtId="3" fontId="61" fillId="0" borderId="12" xfId="0" applyNumberFormat="1" applyFont="1" applyFill="1" applyBorder="1" applyAlignment="1">
      <alignment horizontal="center" vertical="center"/>
    </xf>
    <xf numFmtId="3" fontId="62" fillId="0" borderId="12" xfId="0" applyNumberFormat="1" applyFont="1" applyFill="1" applyBorder="1" applyAlignment="1">
      <alignment horizontal="center" vertical="center"/>
    </xf>
    <xf numFmtId="0" fontId="8" fillId="35" borderId="12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63" fillId="33" borderId="12" xfId="0" applyNumberFormat="1" applyFont="1" applyFill="1" applyBorder="1" applyAlignment="1">
      <alignment horizontal="center" vertical="center" wrapText="1"/>
    </xf>
    <xf numFmtId="0" fontId="64" fillId="33" borderId="12" xfId="0" applyNumberFormat="1" applyFont="1" applyFill="1" applyBorder="1" applyAlignment="1">
      <alignment horizontal="center" vertical="center" wrapText="1"/>
    </xf>
    <xf numFmtId="180" fontId="60" fillId="0" borderId="12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0" fontId="8" fillId="35" borderId="12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16" fillId="0" borderId="10" xfId="0" applyNumberFormat="1" applyFont="1" applyBorder="1" applyAlignment="1">
      <alignment horizontal="left"/>
    </xf>
    <xf numFmtId="0" fontId="16" fillId="0" borderId="10" xfId="0" applyNumberFormat="1" applyFont="1" applyBorder="1" applyAlignment="1">
      <alignment horizontal="center"/>
    </xf>
    <xf numFmtId="0" fontId="16" fillId="0" borderId="10" xfId="0" applyNumberFormat="1" applyFont="1" applyFill="1" applyBorder="1" applyAlignment="1">
      <alignment horizontal="left"/>
    </xf>
    <xf numFmtId="0" fontId="16" fillId="0" borderId="11" xfId="0" applyNumberFormat="1" applyFont="1" applyBorder="1" applyAlignment="1">
      <alignment horizontal="left"/>
    </xf>
    <xf numFmtId="0" fontId="16" fillId="0" borderId="11" xfId="0" applyNumberFormat="1" applyFont="1" applyBorder="1" applyAlignment="1">
      <alignment horizontal="center"/>
    </xf>
    <xf numFmtId="0" fontId="16" fillId="0" borderId="11" xfId="0" applyNumberFormat="1" applyFont="1" applyFill="1" applyBorder="1" applyAlignment="1">
      <alignment horizontal="left"/>
    </xf>
    <xf numFmtId="180" fontId="7" fillId="34" borderId="1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left"/>
    </xf>
    <xf numFmtId="180" fontId="61" fillId="0" borderId="12" xfId="0" applyNumberFormat="1" applyFont="1" applyFill="1" applyBorder="1" applyAlignment="1">
      <alignment horizontal="center" vertical="center"/>
    </xf>
    <xf numFmtId="3" fontId="7" fillId="37" borderId="12" xfId="0" applyNumberFormat="1" applyFont="1" applyFill="1" applyBorder="1" applyAlignment="1">
      <alignment horizontal="center" vertical="center"/>
    </xf>
    <xf numFmtId="3" fontId="61" fillId="37" borderId="12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16" fillId="0" borderId="10" xfId="0" applyNumberFormat="1" applyFont="1" applyBorder="1" applyAlignment="1">
      <alignment horizontal="center"/>
    </xf>
    <xf numFmtId="0" fontId="16" fillId="0" borderId="11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left" wrapText="1" indent="1"/>
    </xf>
    <xf numFmtId="0" fontId="7" fillId="0" borderId="12" xfId="0" applyNumberFormat="1" applyFont="1" applyFill="1" applyBorder="1" applyAlignment="1">
      <alignment horizontal="left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top"/>
    </xf>
    <xf numFmtId="0" fontId="8" fillId="0" borderId="11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wrapText="1"/>
    </xf>
    <xf numFmtId="0" fontId="8" fillId="35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8" fillId="33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98"/>
  <sheetViews>
    <sheetView tabSelected="1" zoomScale="130" zoomScaleNormal="130" zoomScalePageLayoutView="0" workbookViewId="0" topLeftCell="A28">
      <selection activeCell="A41" sqref="A41:B41"/>
    </sheetView>
  </sheetViews>
  <sheetFormatPr defaultColWidth="0.875" defaultRowHeight="12.75"/>
  <cols>
    <col min="1" max="1" width="7.875" style="9" customWidth="1"/>
    <col min="2" max="2" width="39.25390625" style="9" customWidth="1"/>
    <col min="3" max="3" width="8.00390625" style="4" customWidth="1"/>
    <col min="4" max="4" width="7.25390625" style="9" customWidth="1"/>
    <col min="5" max="5" width="10.875" style="9" customWidth="1"/>
    <col min="6" max="6" width="9.75390625" style="9" customWidth="1"/>
    <col min="7" max="8" width="8.125" style="9" customWidth="1"/>
    <col min="9" max="10" width="11.00390625" style="9" customWidth="1"/>
    <col min="11" max="12" width="8.75390625" style="9" customWidth="1"/>
    <col min="13" max="13" width="10.00390625" style="9" customWidth="1"/>
    <col min="14" max="19" width="8.75390625" style="9" customWidth="1"/>
    <col min="20" max="16384" width="0.875" style="9" customWidth="1"/>
  </cols>
  <sheetData>
    <row r="1" spans="1:19" s="1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2" customFormat="1" ht="3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3" customFormat="1" ht="40.5" customHeight="1">
      <c r="A3" s="12"/>
      <c r="B3" s="114" t="s">
        <v>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s="3" customFormat="1" ht="15.75" customHeight="1">
      <c r="A4" s="12"/>
      <c r="B4" s="115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19" s="2" customFormat="1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4" customFormat="1" ht="12.75">
      <c r="A6" s="9"/>
      <c r="B6" s="9" t="s">
        <v>2</v>
      </c>
      <c r="C6" s="9" t="s">
        <v>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4" customFormat="1" ht="12.75">
      <c r="A7" s="9"/>
      <c r="B7" s="9"/>
      <c r="C7" s="9" t="s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4" customFormat="1" ht="12.75">
      <c r="A8" s="9"/>
      <c r="B8" s="9" t="s">
        <v>4</v>
      </c>
      <c r="C8" s="9" t="s">
        <v>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4" customFormat="1" ht="12.75">
      <c r="A9" s="9"/>
      <c r="B9" s="9" t="s">
        <v>6</v>
      </c>
      <c r="C9" s="9" t="s">
        <v>7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3" customFormat="1" ht="4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4" customFormat="1" ht="12.75">
      <c r="A11" s="9"/>
      <c r="B11" s="21" t="s">
        <v>134</v>
      </c>
      <c r="C11" s="15"/>
      <c r="D11" s="15"/>
      <c r="E11" s="15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4" customFormat="1" ht="12.75">
      <c r="A12" s="9"/>
      <c r="B12" s="21" t="s">
        <v>129</v>
      </c>
      <c r="C12" s="15"/>
      <c r="D12" s="15"/>
      <c r="E12" s="1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4" customFormat="1" ht="12.75">
      <c r="A13" s="9"/>
      <c r="B13" s="21" t="s">
        <v>130</v>
      </c>
      <c r="C13" s="15"/>
      <c r="D13" s="15"/>
      <c r="E13" s="1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4" customFormat="1" ht="12.75">
      <c r="A14" s="9"/>
      <c r="B14" s="21" t="s">
        <v>131</v>
      </c>
      <c r="C14" s="15"/>
      <c r="D14" s="15"/>
      <c r="E14" s="15"/>
      <c r="F14" s="9"/>
      <c r="G14" s="9"/>
      <c r="H14" s="22"/>
      <c r="I14" s="9"/>
      <c r="J14" s="9"/>
      <c r="K14" s="24"/>
      <c r="L14" s="9"/>
      <c r="M14" s="9"/>
      <c r="N14" s="9"/>
      <c r="O14" s="9"/>
      <c r="P14" s="9"/>
      <c r="Q14" s="9"/>
      <c r="R14" s="9"/>
      <c r="S14" s="9"/>
    </row>
    <row r="15" spans="1:19" s="4" customFormat="1" ht="12.75">
      <c r="A15" s="9"/>
      <c r="B15" s="21" t="s">
        <v>148</v>
      </c>
      <c r="C15" s="23"/>
      <c r="D15" s="23"/>
      <c r="E15" s="23"/>
      <c r="F15" s="24"/>
      <c r="G15" s="87"/>
      <c r="H15" s="22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4" customFormat="1" ht="12.75">
      <c r="A16" s="9"/>
      <c r="B16" s="9"/>
      <c r="C16" s="9"/>
      <c r="D16" s="9"/>
      <c r="E16" s="22"/>
      <c r="F16" s="9"/>
      <c r="G16" s="22"/>
      <c r="H16" s="22"/>
      <c r="I16" s="9"/>
      <c r="J16" s="9"/>
      <c r="K16" s="24"/>
      <c r="L16" s="9"/>
      <c r="M16" s="9"/>
      <c r="N16" s="9"/>
      <c r="O16" s="9"/>
      <c r="P16" s="9"/>
      <c r="Q16" s="9"/>
      <c r="R16" s="9"/>
      <c r="S16" s="9"/>
    </row>
    <row r="17" spans="1:19" s="5" customFormat="1" ht="9" customHeight="1">
      <c r="A17" s="97" t="s">
        <v>8</v>
      </c>
      <c r="B17" s="97"/>
      <c r="C17" s="97" t="s">
        <v>9</v>
      </c>
      <c r="D17" s="97" t="s">
        <v>10</v>
      </c>
      <c r="E17" s="116" t="s">
        <v>149</v>
      </c>
      <c r="F17" s="116" t="s">
        <v>11</v>
      </c>
      <c r="G17" s="116" t="s">
        <v>12</v>
      </c>
      <c r="H17" s="116"/>
      <c r="I17" s="116"/>
      <c r="J17" s="116"/>
      <c r="K17" s="116"/>
      <c r="L17" s="112" t="s">
        <v>13</v>
      </c>
      <c r="M17" s="112" t="s">
        <v>14</v>
      </c>
      <c r="N17" s="112" t="s">
        <v>15</v>
      </c>
      <c r="O17" s="112"/>
      <c r="P17" s="112"/>
      <c r="Q17" s="112"/>
      <c r="R17" s="112"/>
      <c r="S17" s="112" t="s">
        <v>16</v>
      </c>
    </row>
    <row r="18" spans="1:19" s="5" customFormat="1" ht="96.75" customHeight="1">
      <c r="A18" s="97"/>
      <c r="B18" s="97"/>
      <c r="C18" s="97"/>
      <c r="D18" s="97"/>
      <c r="E18" s="116"/>
      <c r="F18" s="116"/>
      <c r="G18" s="91" t="s">
        <v>17</v>
      </c>
      <c r="H18" s="77" t="s">
        <v>18</v>
      </c>
      <c r="I18" s="73" t="s">
        <v>19</v>
      </c>
      <c r="J18" s="77" t="s">
        <v>20</v>
      </c>
      <c r="K18" s="77" t="s">
        <v>21</v>
      </c>
      <c r="L18" s="112"/>
      <c r="M18" s="112"/>
      <c r="N18" s="76" t="s">
        <v>144</v>
      </c>
      <c r="O18" s="76" t="s">
        <v>22</v>
      </c>
      <c r="P18" s="76" t="s">
        <v>23</v>
      </c>
      <c r="Q18" s="47" t="s">
        <v>20</v>
      </c>
      <c r="R18" s="76" t="s">
        <v>24</v>
      </c>
      <c r="S18" s="112"/>
    </row>
    <row r="19" spans="1:19" s="6" customFormat="1" ht="11.25" customHeight="1">
      <c r="A19" s="113">
        <v>1</v>
      </c>
      <c r="B19" s="113"/>
      <c r="C19" s="50">
        <v>2</v>
      </c>
      <c r="D19" s="50">
        <v>3</v>
      </c>
      <c r="E19" s="51">
        <v>4</v>
      </c>
      <c r="F19" s="51">
        <v>5</v>
      </c>
      <c r="G19" s="51">
        <v>6</v>
      </c>
      <c r="H19" s="51">
        <v>7</v>
      </c>
      <c r="I19" s="52">
        <v>8</v>
      </c>
      <c r="J19" s="52">
        <v>9</v>
      </c>
      <c r="K19" s="51">
        <v>10</v>
      </c>
      <c r="L19" s="53">
        <v>11</v>
      </c>
      <c r="M19" s="53">
        <v>12</v>
      </c>
      <c r="N19" s="53">
        <v>13</v>
      </c>
      <c r="O19" s="53">
        <v>14</v>
      </c>
      <c r="P19" s="54">
        <v>15</v>
      </c>
      <c r="Q19" s="54">
        <v>16</v>
      </c>
      <c r="R19" s="53">
        <v>17</v>
      </c>
      <c r="S19" s="53">
        <v>18</v>
      </c>
    </row>
    <row r="20" spans="1:19" s="7" customFormat="1" ht="37.5" customHeight="1">
      <c r="A20" s="96" t="s">
        <v>25</v>
      </c>
      <c r="B20" s="96"/>
      <c r="C20" s="26" t="s">
        <v>26</v>
      </c>
      <c r="D20" s="27" t="s">
        <v>27</v>
      </c>
      <c r="E20" s="28">
        <f aca="true" t="shared" si="0" ref="E20:R20">E21+E29+E34+E42+E43+E44+E45+E47+E48+E49-E45</f>
        <v>130025</v>
      </c>
      <c r="F20" s="28">
        <f t="shared" si="0"/>
        <v>130025</v>
      </c>
      <c r="G20" s="28">
        <f t="shared" si="0"/>
        <v>122864</v>
      </c>
      <c r="H20" s="28">
        <f t="shared" si="0"/>
        <v>372</v>
      </c>
      <c r="I20" s="28">
        <f t="shared" si="0"/>
        <v>123236</v>
      </c>
      <c r="J20" s="28">
        <f t="shared" si="0"/>
        <v>0</v>
      </c>
      <c r="K20" s="28">
        <f t="shared" si="0"/>
        <v>6789</v>
      </c>
      <c r="L20" s="30">
        <f t="shared" si="0"/>
        <v>123806</v>
      </c>
      <c r="M20" s="66">
        <f t="shared" si="0"/>
        <v>123806</v>
      </c>
      <c r="N20" s="66">
        <f t="shared" si="0"/>
        <v>114314</v>
      </c>
      <c r="O20" s="66">
        <f t="shared" si="0"/>
        <v>607</v>
      </c>
      <c r="P20" s="30">
        <f t="shared" si="0"/>
        <v>114921</v>
      </c>
      <c r="Q20" s="66">
        <f t="shared" si="0"/>
        <v>0</v>
      </c>
      <c r="R20" s="66">
        <f t="shared" si="0"/>
        <v>8885</v>
      </c>
      <c r="S20" s="31"/>
    </row>
    <row r="21" spans="1:19" s="7" customFormat="1" ht="12.75">
      <c r="A21" s="96" t="s">
        <v>28</v>
      </c>
      <c r="B21" s="96"/>
      <c r="C21" s="26" t="s">
        <v>26</v>
      </c>
      <c r="D21" s="27" t="s">
        <v>29</v>
      </c>
      <c r="E21" s="28">
        <f>E22+E23+E28</f>
        <v>20518</v>
      </c>
      <c r="F21" s="29">
        <f>E21</f>
        <v>20518</v>
      </c>
      <c r="G21" s="29">
        <f>G22+G23+G28</f>
        <v>19902</v>
      </c>
      <c r="H21" s="29">
        <f>H22+H23+H28</f>
        <v>1</v>
      </c>
      <c r="I21" s="28">
        <f>G21+H21</f>
        <v>19903</v>
      </c>
      <c r="J21" s="29">
        <f>J22+J23+J28</f>
        <v>0</v>
      </c>
      <c r="K21" s="29">
        <f>K22+K23+K28</f>
        <v>615</v>
      </c>
      <c r="L21" s="30">
        <f>L22+L23+L28</f>
        <v>19158</v>
      </c>
      <c r="M21" s="31">
        <f>L21</f>
        <v>19158</v>
      </c>
      <c r="N21" s="31">
        <f>N22+N23+N28</f>
        <v>17219</v>
      </c>
      <c r="O21" s="31">
        <f>O22+O23+O28</f>
        <v>38</v>
      </c>
      <c r="P21" s="30">
        <f>N21+O21</f>
        <v>17257</v>
      </c>
      <c r="Q21" s="31">
        <f>Q22+Q23+Q28</f>
        <v>0</v>
      </c>
      <c r="R21" s="31">
        <f>R22+R23+R28</f>
        <v>1901</v>
      </c>
      <c r="S21" s="31"/>
    </row>
    <row r="22" spans="1:19" s="7" customFormat="1" ht="12.75">
      <c r="A22" s="96" t="s">
        <v>30</v>
      </c>
      <c r="B22" s="96"/>
      <c r="C22" s="26" t="s">
        <v>26</v>
      </c>
      <c r="D22" s="27" t="s">
        <v>31</v>
      </c>
      <c r="E22" s="28">
        <f>I22+K22</f>
        <v>3952</v>
      </c>
      <c r="F22" s="29">
        <f aca="true" t="shared" si="1" ref="F22:F66">E22</f>
        <v>3952</v>
      </c>
      <c r="G22" s="29">
        <v>3336</v>
      </c>
      <c r="H22" s="29">
        <v>1</v>
      </c>
      <c r="I22" s="28">
        <f>G22+H22</f>
        <v>3337</v>
      </c>
      <c r="J22" s="29"/>
      <c r="K22" s="29">
        <f>151+118+72+274</f>
        <v>615</v>
      </c>
      <c r="L22" s="30">
        <f>P22+R22</f>
        <v>5825</v>
      </c>
      <c r="M22" s="31">
        <f aca="true" t="shared" si="2" ref="M22:M66">L22</f>
        <v>5825</v>
      </c>
      <c r="N22" s="31">
        <v>3886</v>
      </c>
      <c r="O22" s="31">
        <v>38</v>
      </c>
      <c r="P22" s="30">
        <f>N22+O22</f>
        <v>3924</v>
      </c>
      <c r="Q22" s="31"/>
      <c r="R22" s="31">
        <v>1901</v>
      </c>
      <c r="S22" s="31"/>
    </row>
    <row r="23" spans="1:19" s="7" customFormat="1" ht="47.25" customHeight="1">
      <c r="A23" s="96" t="s">
        <v>32</v>
      </c>
      <c r="B23" s="96"/>
      <c r="C23" s="26" t="s">
        <v>26</v>
      </c>
      <c r="D23" s="27" t="s">
        <v>33</v>
      </c>
      <c r="E23" s="28">
        <f aca="true" t="shared" si="3" ref="E23:E43">I23+K23</f>
        <v>15696</v>
      </c>
      <c r="F23" s="29">
        <f t="shared" si="1"/>
        <v>15696</v>
      </c>
      <c r="G23" s="29">
        <v>15696</v>
      </c>
      <c r="H23" s="29"/>
      <c r="I23" s="28">
        <f>G23+H23</f>
        <v>15696</v>
      </c>
      <c r="J23" s="29"/>
      <c r="K23" s="29"/>
      <c r="L23" s="30">
        <f aca="true" t="shared" si="4" ref="L23:L44">P23+R23</f>
        <v>12582</v>
      </c>
      <c r="M23" s="31">
        <f t="shared" si="2"/>
        <v>12582</v>
      </c>
      <c r="N23" s="31">
        <v>12582</v>
      </c>
      <c r="O23" s="31"/>
      <c r="P23" s="30">
        <f>N23+O23</f>
        <v>12582</v>
      </c>
      <c r="Q23" s="31"/>
      <c r="R23" s="31"/>
      <c r="S23" s="31"/>
    </row>
    <row r="24" spans="1:19" s="7" customFormat="1" ht="12.75">
      <c r="A24" s="96" t="s">
        <v>34</v>
      </c>
      <c r="B24" s="96"/>
      <c r="C24" s="26" t="s">
        <v>26</v>
      </c>
      <c r="D24" s="27"/>
      <c r="E24" s="28">
        <f t="shared" si="3"/>
        <v>0</v>
      </c>
      <c r="F24" s="29">
        <f t="shared" si="1"/>
        <v>0</v>
      </c>
      <c r="G24" s="29"/>
      <c r="H24" s="29"/>
      <c r="I24" s="28"/>
      <c r="J24" s="29"/>
      <c r="K24" s="29"/>
      <c r="L24" s="30">
        <f t="shared" si="4"/>
        <v>0</v>
      </c>
      <c r="M24" s="31">
        <f t="shared" si="2"/>
        <v>0</v>
      </c>
      <c r="N24" s="31"/>
      <c r="O24" s="31"/>
      <c r="P24" s="30"/>
      <c r="Q24" s="31"/>
      <c r="R24" s="31"/>
      <c r="S24" s="31"/>
    </row>
    <row r="25" spans="1:19" s="7" customFormat="1" ht="12.75">
      <c r="A25" s="96" t="s">
        <v>35</v>
      </c>
      <c r="B25" s="96"/>
      <c r="C25" s="26" t="s">
        <v>26</v>
      </c>
      <c r="D25" s="27"/>
      <c r="E25" s="28">
        <f t="shared" si="3"/>
        <v>0</v>
      </c>
      <c r="F25" s="29">
        <f t="shared" si="1"/>
        <v>0</v>
      </c>
      <c r="G25" s="29"/>
      <c r="H25" s="29"/>
      <c r="I25" s="28"/>
      <c r="J25" s="29"/>
      <c r="K25" s="29"/>
      <c r="L25" s="30">
        <f t="shared" si="4"/>
        <v>0</v>
      </c>
      <c r="M25" s="31">
        <f t="shared" si="2"/>
        <v>0</v>
      </c>
      <c r="N25" s="31"/>
      <c r="O25" s="31"/>
      <c r="P25" s="30"/>
      <c r="Q25" s="31"/>
      <c r="R25" s="31"/>
      <c r="S25" s="31"/>
    </row>
    <row r="26" spans="1:19" s="7" customFormat="1" ht="12.75">
      <c r="A26" s="96" t="s">
        <v>36</v>
      </c>
      <c r="B26" s="96"/>
      <c r="C26" s="26" t="s">
        <v>26</v>
      </c>
      <c r="D26" s="27"/>
      <c r="E26" s="28">
        <f t="shared" si="3"/>
        <v>0</v>
      </c>
      <c r="F26" s="29">
        <f t="shared" si="1"/>
        <v>0</v>
      </c>
      <c r="G26" s="29"/>
      <c r="H26" s="29"/>
      <c r="I26" s="28"/>
      <c r="J26" s="29"/>
      <c r="K26" s="29"/>
      <c r="L26" s="30">
        <f t="shared" si="4"/>
        <v>0</v>
      </c>
      <c r="M26" s="31">
        <f t="shared" si="2"/>
        <v>0</v>
      </c>
      <c r="N26" s="31"/>
      <c r="O26" s="31"/>
      <c r="P26" s="30"/>
      <c r="Q26" s="31"/>
      <c r="R26" s="31"/>
      <c r="S26" s="31"/>
    </row>
    <row r="27" spans="1:19" s="7" customFormat="1" ht="12.75">
      <c r="A27" s="96" t="s">
        <v>37</v>
      </c>
      <c r="B27" s="96"/>
      <c r="C27" s="26" t="s">
        <v>26</v>
      </c>
      <c r="D27" s="27"/>
      <c r="E27" s="28">
        <f t="shared" si="3"/>
        <v>0</v>
      </c>
      <c r="F27" s="29">
        <f t="shared" si="1"/>
        <v>0</v>
      </c>
      <c r="G27" s="29"/>
      <c r="H27" s="29"/>
      <c r="I27" s="28"/>
      <c r="J27" s="29"/>
      <c r="K27" s="29"/>
      <c r="L27" s="30">
        <f t="shared" si="4"/>
        <v>0</v>
      </c>
      <c r="M27" s="31">
        <f t="shared" si="2"/>
        <v>0</v>
      </c>
      <c r="N27" s="31"/>
      <c r="O27" s="31"/>
      <c r="P27" s="30"/>
      <c r="Q27" s="31"/>
      <c r="R27" s="31"/>
      <c r="S27" s="31"/>
    </row>
    <row r="28" spans="1:19" s="7" customFormat="1" ht="26.25" customHeight="1">
      <c r="A28" s="96" t="s">
        <v>38</v>
      </c>
      <c r="B28" s="96"/>
      <c r="C28" s="26" t="s">
        <v>26</v>
      </c>
      <c r="D28" s="27" t="s">
        <v>39</v>
      </c>
      <c r="E28" s="28">
        <f t="shared" si="3"/>
        <v>870</v>
      </c>
      <c r="F28" s="29">
        <f t="shared" si="1"/>
        <v>870</v>
      </c>
      <c r="G28" s="29">
        <v>870</v>
      </c>
      <c r="H28" s="29"/>
      <c r="I28" s="28">
        <f>G28+H28</f>
        <v>870</v>
      </c>
      <c r="J28" s="29"/>
      <c r="K28" s="29"/>
      <c r="L28" s="30">
        <f t="shared" si="4"/>
        <v>751</v>
      </c>
      <c r="M28" s="31">
        <f t="shared" si="2"/>
        <v>751</v>
      </c>
      <c r="N28" s="31">
        <v>751</v>
      </c>
      <c r="O28" s="31"/>
      <c r="P28" s="30">
        <f>N28+O28</f>
        <v>751</v>
      </c>
      <c r="Q28" s="31"/>
      <c r="R28" s="31"/>
      <c r="S28" s="31"/>
    </row>
    <row r="29" spans="1:19" s="7" customFormat="1" ht="33" customHeight="1">
      <c r="A29" s="96" t="s">
        <v>40</v>
      </c>
      <c r="B29" s="96"/>
      <c r="C29" s="26" t="s">
        <v>26</v>
      </c>
      <c r="D29" s="27" t="s">
        <v>41</v>
      </c>
      <c r="E29" s="28">
        <f t="shared" si="3"/>
        <v>162</v>
      </c>
      <c r="F29" s="29">
        <f t="shared" si="1"/>
        <v>162</v>
      </c>
      <c r="G29" s="29">
        <f>G30+G31+G32+G32+G33</f>
        <v>162</v>
      </c>
      <c r="H29" s="29">
        <f>H30+H31+H32+H33</f>
        <v>0</v>
      </c>
      <c r="I29" s="28">
        <f>G29+H29</f>
        <v>162</v>
      </c>
      <c r="J29" s="29">
        <f>J30+J31+J32+J33</f>
        <v>0</v>
      </c>
      <c r="K29" s="29">
        <f>K30+K31+K32+K33</f>
        <v>0</v>
      </c>
      <c r="L29" s="30">
        <f t="shared" si="4"/>
        <v>953</v>
      </c>
      <c r="M29" s="31">
        <f t="shared" si="2"/>
        <v>953</v>
      </c>
      <c r="N29" s="31">
        <f>N30+N31+N32+N33</f>
        <v>953</v>
      </c>
      <c r="O29" s="31">
        <f>O30+O31+O32+O33</f>
        <v>0</v>
      </c>
      <c r="P29" s="30">
        <f>N29+O29</f>
        <v>953</v>
      </c>
      <c r="Q29" s="31">
        <f>Q30+Q31+Q32+Q33</f>
        <v>0</v>
      </c>
      <c r="R29" s="31">
        <f>R30+R31+R32+R33</f>
        <v>0</v>
      </c>
      <c r="S29" s="31"/>
    </row>
    <row r="30" spans="1:19" s="7" customFormat="1" ht="12.75">
      <c r="A30" s="96" t="s">
        <v>42</v>
      </c>
      <c r="B30" s="96"/>
      <c r="C30" s="26" t="s">
        <v>26</v>
      </c>
      <c r="D30" s="27" t="s">
        <v>43</v>
      </c>
      <c r="E30" s="28">
        <f t="shared" si="3"/>
        <v>162</v>
      </c>
      <c r="F30" s="29">
        <f t="shared" si="1"/>
        <v>162</v>
      </c>
      <c r="G30" s="29">
        <v>162</v>
      </c>
      <c r="H30" s="29"/>
      <c r="I30" s="28">
        <f>G30+H30</f>
        <v>162</v>
      </c>
      <c r="J30" s="29"/>
      <c r="K30" s="29"/>
      <c r="L30" s="30">
        <f t="shared" si="4"/>
        <v>141</v>
      </c>
      <c r="M30" s="31">
        <f t="shared" si="2"/>
        <v>141</v>
      </c>
      <c r="N30" s="31">
        <v>141</v>
      </c>
      <c r="O30" s="31"/>
      <c r="P30" s="30">
        <f>N30+O30</f>
        <v>141</v>
      </c>
      <c r="Q30" s="31"/>
      <c r="R30" s="31"/>
      <c r="S30" s="31"/>
    </row>
    <row r="31" spans="1:19" s="7" customFormat="1" ht="12.75">
      <c r="A31" s="96" t="s">
        <v>44</v>
      </c>
      <c r="B31" s="96"/>
      <c r="C31" s="26" t="s">
        <v>26</v>
      </c>
      <c r="D31" s="27" t="s">
        <v>45</v>
      </c>
      <c r="E31" s="28">
        <f t="shared" si="3"/>
        <v>0</v>
      </c>
      <c r="F31" s="29">
        <f t="shared" si="1"/>
        <v>0</v>
      </c>
      <c r="G31" s="29"/>
      <c r="H31" s="29"/>
      <c r="I31" s="28"/>
      <c r="J31" s="29"/>
      <c r="K31" s="29"/>
      <c r="L31" s="30">
        <f t="shared" si="4"/>
        <v>0</v>
      </c>
      <c r="M31" s="31">
        <f t="shared" si="2"/>
        <v>0</v>
      </c>
      <c r="N31" s="31"/>
      <c r="O31" s="31"/>
      <c r="P31" s="30"/>
      <c r="Q31" s="31"/>
      <c r="R31" s="31"/>
      <c r="S31" s="31"/>
    </row>
    <row r="32" spans="1:19" s="7" customFormat="1" ht="24.75" customHeight="1">
      <c r="A32" s="96" t="s">
        <v>46</v>
      </c>
      <c r="B32" s="96"/>
      <c r="C32" s="26" t="s">
        <v>26</v>
      </c>
      <c r="D32" s="27" t="s">
        <v>47</v>
      </c>
      <c r="E32" s="28">
        <f t="shared" si="3"/>
        <v>0</v>
      </c>
      <c r="F32" s="29">
        <f t="shared" si="1"/>
        <v>0</v>
      </c>
      <c r="G32" s="29"/>
      <c r="H32" s="32"/>
      <c r="I32" s="28"/>
      <c r="J32" s="29"/>
      <c r="K32" s="29"/>
      <c r="L32" s="30">
        <f t="shared" si="4"/>
        <v>0</v>
      </c>
      <c r="M32" s="31">
        <f t="shared" si="2"/>
        <v>0</v>
      </c>
      <c r="N32" s="31"/>
      <c r="O32" s="33"/>
      <c r="P32" s="30"/>
      <c r="Q32" s="31"/>
      <c r="R32" s="31"/>
      <c r="S32" s="31"/>
    </row>
    <row r="33" spans="1:19" s="7" customFormat="1" ht="30" customHeight="1">
      <c r="A33" s="96" t="s">
        <v>48</v>
      </c>
      <c r="B33" s="96"/>
      <c r="C33" s="26" t="s">
        <v>26</v>
      </c>
      <c r="D33" s="27" t="s">
        <v>49</v>
      </c>
      <c r="E33" s="28">
        <f t="shared" si="3"/>
        <v>0</v>
      </c>
      <c r="F33" s="29">
        <f t="shared" si="1"/>
        <v>0</v>
      </c>
      <c r="G33" s="29"/>
      <c r="H33" s="29"/>
      <c r="I33" s="28">
        <f>G33+H33</f>
        <v>0</v>
      </c>
      <c r="J33" s="29"/>
      <c r="K33" s="29"/>
      <c r="L33" s="30">
        <f t="shared" si="4"/>
        <v>812</v>
      </c>
      <c r="M33" s="31">
        <f t="shared" si="2"/>
        <v>812</v>
      </c>
      <c r="N33" s="31">
        <v>812</v>
      </c>
      <c r="O33" s="31"/>
      <c r="P33" s="30">
        <f>N33+O33</f>
        <v>812</v>
      </c>
      <c r="Q33" s="31"/>
      <c r="R33" s="31"/>
      <c r="S33" s="31"/>
    </row>
    <row r="34" spans="1:19" s="7" customFormat="1" ht="12.75">
      <c r="A34" s="96" t="s">
        <v>50</v>
      </c>
      <c r="B34" s="96"/>
      <c r="C34" s="26" t="s">
        <v>26</v>
      </c>
      <c r="D34" s="27" t="s">
        <v>51</v>
      </c>
      <c r="E34" s="28">
        <f t="shared" si="3"/>
        <v>59251</v>
      </c>
      <c r="F34" s="29">
        <f t="shared" si="1"/>
        <v>59251</v>
      </c>
      <c r="G34" s="62">
        <f>G35+G36+G37</f>
        <v>54409</v>
      </c>
      <c r="H34" s="62">
        <f>H35+H36+H37</f>
        <v>230</v>
      </c>
      <c r="I34" s="63">
        <f>G34+H34</f>
        <v>54639</v>
      </c>
      <c r="J34" s="63"/>
      <c r="K34" s="62">
        <f>K35+K36+K37</f>
        <v>4612</v>
      </c>
      <c r="L34" s="30">
        <f t="shared" si="4"/>
        <v>56259</v>
      </c>
      <c r="M34" s="31">
        <f t="shared" si="2"/>
        <v>56259</v>
      </c>
      <c r="N34" s="31">
        <f>N35+N36+N37</f>
        <v>50787</v>
      </c>
      <c r="O34" s="31">
        <f>O35+O36+O37</f>
        <v>376</v>
      </c>
      <c r="P34" s="30">
        <f>N34+O34</f>
        <v>51163</v>
      </c>
      <c r="Q34" s="31"/>
      <c r="R34" s="31">
        <f>R35+R36+R37</f>
        <v>5096</v>
      </c>
      <c r="S34" s="31"/>
    </row>
    <row r="35" spans="1:19" s="7" customFormat="1" ht="12.75">
      <c r="A35" s="96" t="s">
        <v>52</v>
      </c>
      <c r="B35" s="96"/>
      <c r="C35" s="26" t="s">
        <v>26</v>
      </c>
      <c r="D35" s="27"/>
      <c r="E35" s="28">
        <f t="shared" si="3"/>
        <v>11545</v>
      </c>
      <c r="F35" s="29">
        <f t="shared" si="1"/>
        <v>11545</v>
      </c>
      <c r="G35" s="29">
        <v>11495</v>
      </c>
      <c r="H35" s="29">
        <f>21+29</f>
        <v>50</v>
      </c>
      <c r="I35" s="28">
        <f>G35+H35</f>
        <v>11545</v>
      </c>
      <c r="J35" s="29"/>
      <c r="K35" s="29"/>
      <c r="L35" s="30">
        <f t="shared" si="4"/>
        <v>11373</v>
      </c>
      <c r="M35" s="31">
        <f t="shared" si="2"/>
        <v>11373</v>
      </c>
      <c r="N35" s="31">
        <v>11255</v>
      </c>
      <c r="O35" s="31">
        <v>118</v>
      </c>
      <c r="P35" s="30">
        <f>N35+O35</f>
        <v>11373</v>
      </c>
      <c r="Q35" s="31"/>
      <c r="R35" s="31"/>
      <c r="S35" s="31"/>
    </row>
    <row r="36" spans="1:19" s="7" customFormat="1" ht="15" customHeight="1">
      <c r="A36" s="96" t="s">
        <v>135</v>
      </c>
      <c r="B36" s="96"/>
      <c r="C36" s="26" t="s">
        <v>26</v>
      </c>
      <c r="D36" s="27"/>
      <c r="E36" s="28">
        <f t="shared" si="3"/>
        <v>10553</v>
      </c>
      <c r="F36" s="29">
        <f t="shared" si="1"/>
        <v>10553</v>
      </c>
      <c r="G36" s="29">
        <v>9921</v>
      </c>
      <c r="H36" s="29">
        <f>90+27</f>
        <v>117</v>
      </c>
      <c r="I36" s="28">
        <f>G36+H36</f>
        <v>10038</v>
      </c>
      <c r="J36" s="29"/>
      <c r="K36" s="29">
        <v>515</v>
      </c>
      <c r="L36" s="30">
        <f t="shared" si="4"/>
        <v>9758</v>
      </c>
      <c r="M36" s="31">
        <f t="shared" si="2"/>
        <v>9758</v>
      </c>
      <c r="N36" s="31">
        <v>9274</v>
      </c>
      <c r="O36" s="31">
        <v>59</v>
      </c>
      <c r="P36" s="30">
        <f>N36+O36</f>
        <v>9333</v>
      </c>
      <c r="Q36" s="31"/>
      <c r="R36" s="31">
        <v>425</v>
      </c>
      <c r="S36" s="31"/>
    </row>
    <row r="37" spans="1:19" s="7" customFormat="1" ht="12.75">
      <c r="A37" s="96" t="s">
        <v>53</v>
      </c>
      <c r="B37" s="96"/>
      <c r="C37" s="26" t="s">
        <v>26</v>
      </c>
      <c r="D37" s="27"/>
      <c r="E37" s="28">
        <f t="shared" si="3"/>
        <v>37153</v>
      </c>
      <c r="F37" s="29">
        <f t="shared" si="1"/>
        <v>37153</v>
      </c>
      <c r="G37" s="29">
        <v>32993</v>
      </c>
      <c r="H37" s="29">
        <f>27+25+11</f>
        <v>63</v>
      </c>
      <c r="I37" s="28">
        <f>G37+H37</f>
        <v>33056</v>
      </c>
      <c r="J37" s="29"/>
      <c r="K37" s="29">
        <f>1794+17+2286</f>
        <v>4097</v>
      </c>
      <c r="L37" s="30">
        <f t="shared" si="4"/>
        <v>35128</v>
      </c>
      <c r="M37" s="31">
        <f t="shared" si="2"/>
        <v>35128</v>
      </c>
      <c r="N37" s="31">
        <v>30258</v>
      </c>
      <c r="O37" s="31">
        <v>199</v>
      </c>
      <c r="P37" s="30">
        <f>N37+O37</f>
        <v>30457</v>
      </c>
      <c r="Q37" s="31"/>
      <c r="R37" s="31">
        <v>4671</v>
      </c>
      <c r="S37" s="31"/>
    </row>
    <row r="38" spans="1:19" s="7" customFormat="1" ht="28.5" customHeight="1">
      <c r="A38" s="96" t="s">
        <v>54</v>
      </c>
      <c r="B38" s="96"/>
      <c r="C38" s="26" t="s">
        <v>55</v>
      </c>
      <c r="D38" s="27"/>
      <c r="E38" s="28">
        <f t="shared" si="3"/>
        <v>151</v>
      </c>
      <c r="F38" s="29">
        <f t="shared" si="1"/>
        <v>151</v>
      </c>
      <c r="G38" s="29">
        <f>G39+G40+G41</f>
        <v>140</v>
      </c>
      <c r="H38" s="29">
        <f>H39+H40+H41</f>
        <v>0</v>
      </c>
      <c r="I38" s="28">
        <f>I39+I40+I41</f>
        <v>140</v>
      </c>
      <c r="J38" s="29"/>
      <c r="K38" s="29">
        <f>K39+K40+K41</f>
        <v>11</v>
      </c>
      <c r="L38" s="30">
        <f t="shared" si="4"/>
        <v>151.29999999999998</v>
      </c>
      <c r="M38" s="33">
        <f t="shared" si="2"/>
        <v>151.29999999999998</v>
      </c>
      <c r="N38" s="33">
        <f>N39+N40+N41</f>
        <v>138.1</v>
      </c>
      <c r="O38" s="31">
        <f>O39+O40+O41</f>
        <v>0</v>
      </c>
      <c r="P38" s="86">
        <f>P39+P40+P41</f>
        <v>138.1</v>
      </c>
      <c r="Q38" s="33"/>
      <c r="R38" s="33">
        <f>R39+R40+R41</f>
        <v>13.200000000000001</v>
      </c>
      <c r="S38" s="74"/>
    </row>
    <row r="39" spans="1:19" s="7" customFormat="1" ht="12.75">
      <c r="A39" s="96" t="s">
        <v>52</v>
      </c>
      <c r="B39" s="96"/>
      <c r="C39" s="26" t="s">
        <v>55</v>
      </c>
      <c r="D39" s="27"/>
      <c r="E39" s="28">
        <f t="shared" si="3"/>
        <v>24</v>
      </c>
      <c r="F39" s="29">
        <f t="shared" si="1"/>
        <v>24</v>
      </c>
      <c r="G39" s="29">
        <v>24</v>
      </c>
      <c r="H39" s="29"/>
      <c r="I39" s="28">
        <f aca="true" t="shared" si="5" ref="I39:I45">G39+H39</f>
        <v>24</v>
      </c>
      <c r="J39" s="29"/>
      <c r="K39" s="29"/>
      <c r="L39" s="30">
        <f t="shared" si="4"/>
        <v>22.2</v>
      </c>
      <c r="M39" s="33">
        <f t="shared" si="2"/>
        <v>22.2</v>
      </c>
      <c r="N39" s="33">
        <v>22.2</v>
      </c>
      <c r="O39" s="31"/>
      <c r="P39" s="86">
        <f>N39+O39</f>
        <v>22.2</v>
      </c>
      <c r="Q39" s="33"/>
      <c r="R39" s="33"/>
      <c r="S39" s="61"/>
    </row>
    <row r="40" spans="1:19" s="7" customFormat="1" ht="13.5" customHeight="1">
      <c r="A40" s="96" t="s">
        <v>135</v>
      </c>
      <c r="B40" s="96"/>
      <c r="C40" s="26" t="s">
        <v>55</v>
      </c>
      <c r="D40" s="27"/>
      <c r="E40" s="28">
        <f t="shared" si="3"/>
        <v>20</v>
      </c>
      <c r="F40" s="29">
        <f t="shared" si="1"/>
        <v>20</v>
      </c>
      <c r="G40" s="29">
        <v>19</v>
      </c>
      <c r="H40" s="29"/>
      <c r="I40" s="28">
        <f t="shared" si="5"/>
        <v>19</v>
      </c>
      <c r="J40" s="32"/>
      <c r="K40" s="29">
        <v>1</v>
      </c>
      <c r="L40" s="30">
        <f t="shared" si="4"/>
        <v>20.099999999999998</v>
      </c>
      <c r="M40" s="33">
        <f t="shared" si="2"/>
        <v>20.099999999999998</v>
      </c>
      <c r="N40" s="33">
        <v>19.2</v>
      </c>
      <c r="O40" s="31"/>
      <c r="P40" s="86">
        <f>N40+O40</f>
        <v>19.2</v>
      </c>
      <c r="Q40" s="33"/>
      <c r="R40" s="33">
        <v>0.9</v>
      </c>
      <c r="S40" s="74"/>
    </row>
    <row r="41" spans="1:19" s="7" customFormat="1" ht="12.75">
      <c r="A41" s="96" t="s">
        <v>53</v>
      </c>
      <c r="B41" s="96"/>
      <c r="C41" s="26" t="s">
        <v>55</v>
      </c>
      <c r="D41" s="27"/>
      <c r="E41" s="28">
        <f t="shared" si="3"/>
        <v>107</v>
      </c>
      <c r="F41" s="29">
        <f t="shared" si="1"/>
        <v>107</v>
      </c>
      <c r="G41" s="29">
        <v>97</v>
      </c>
      <c r="H41" s="32"/>
      <c r="I41" s="28">
        <f t="shared" si="5"/>
        <v>97</v>
      </c>
      <c r="J41" s="32"/>
      <c r="K41" s="29">
        <v>10</v>
      </c>
      <c r="L41" s="30">
        <f t="shared" si="4"/>
        <v>109</v>
      </c>
      <c r="M41" s="33">
        <f t="shared" si="2"/>
        <v>109</v>
      </c>
      <c r="N41" s="33">
        <f>102.7-6</f>
        <v>96.7</v>
      </c>
      <c r="O41" s="31"/>
      <c r="P41" s="86">
        <f>N41+O41</f>
        <v>96.7</v>
      </c>
      <c r="Q41" s="33"/>
      <c r="R41" s="88">
        <f>6.3+6</f>
        <v>12.3</v>
      </c>
      <c r="S41" s="74"/>
    </row>
    <row r="42" spans="1:19" s="7" customFormat="1" ht="75" customHeight="1">
      <c r="A42" s="96" t="s">
        <v>56</v>
      </c>
      <c r="B42" s="96"/>
      <c r="C42" s="26" t="s">
        <v>26</v>
      </c>
      <c r="D42" s="27" t="s">
        <v>57</v>
      </c>
      <c r="E42" s="28">
        <f t="shared" si="3"/>
        <v>17864</v>
      </c>
      <c r="F42" s="29">
        <f t="shared" si="1"/>
        <v>17864</v>
      </c>
      <c r="G42" s="29">
        <v>16401</v>
      </c>
      <c r="H42" s="29">
        <f>42+24+3</f>
        <v>69</v>
      </c>
      <c r="I42" s="28">
        <f t="shared" si="5"/>
        <v>16470</v>
      </c>
      <c r="J42" s="29"/>
      <c r="K42" s="29">
        <f>543+5+846</f>
        <v>1394</v>
      </c>
      <c r="L42" s="30">
        <f t="shared" si="4"/>
        <v>16996</v>
      </c>
      <c r="M42" s="31">
        <f t="shared" si="2"/>
        <v>16996</v>
      </c>
      <c r="N42" s="31">
        <v>15329</v>
      </c>
      <c r="O42" s="31">
        <v>114</v>
      </c>
      <c r="P42" s="30">
        <f>N42+O42</f>
        <v>15443</v>
      </c>
      <c r="Q42" s="31"/>
      <c r="R42" s="31">
        <v>1553</v>
      </c>
      <c r="S42" s="31"/>
    </row>
    <row r="43" spans="1:19" s="7" customFormat="1" ht="12.75">
      <c r="A43" s="96" t="s">
        <v>58</v>
      </c>
      <c r="B43" s="96"/>
      <c r="C43" s="26" t="s">
        <v>26</v>
      </c>
      <c r="D43" s="27" t="s">
        <v>59</v>
      </c>
      <c r="E43" s="28">
        <f t="shared" si="3"/>
        <v>559</v>
      </c>
      <c r="F43" s="29">
        <f t="shared" si="1"/>
        <v>559</v>
      </c>
      <c r="G43" s="29">
        <v>559</v>
      </c>
      <c r="H43" s="29"/>
      <c r="I43" s="28">
        <f t="shared" si="5"/>
        <v>559</v>
      </c>
      <c r="J43" s="29"/>
      <c r="K43" s="29"/>
      <c r="L43" s="30">
        <f t="shared" si="4"/>
        <v>238</v>
      </c>
      <c r="M43" s="31">
        <f t="shared" si="2"/>
        <v>238</v>
      </c>
      <c r="N43" s="31">
        <v>238</v>
      </c>
      <c r="O43" s="31"/>
      <c r="P43" s="30">
        <f>N43+O43</f>
        <v>238</v>
      </c>
      <c r="Q43" s="31"/>
      <c r="R43" s="31"/>
      <c r="S43" s="31"/>
    </row>
    <row r="44" spans="1:19" s="7" customFormat="1" ht="12.75">
      <c r="A44" s="96" t="s">
        <v>60</v>
      </c>
      <c r="B44" s="96"/>
      <c r="C44" s="26" t="s">
        <v>26</v>
      </c>
      <c r="D44" s="27" t="s">
        <v>61</v>
      </c>
      <c r="E44" s="28">
        <f>E45</f>
        <v>22254</v>
      </c>
      <c r="F44" s="29">
        <f t="shared" si="1"/>
        <v>22254</v>
      </c>
      <c r="G44" s="29">
        <f>G45</f>
        <v>22254</v>
      </c>
      <c r="H44" s="29"/>
      <c r="I44" s="28">
        <f t="shared" si="5"/>
        <v>22254</v>
      </c>
      <c r="J44" s="29"/>
      <c r="K44" s="29"/>
      <c r="L44" s="36">
        <f t="shared" si="4"/>
        <v>22259</v>
      </c>
      <c r="M44" s="37">
        <f>M45</f>
        <v>22259</v>
      </c>
      <c r="N44" s="37">
        <f>N45</f>
        <v>22259</v>
      </c>
      <c r="O44" s="37"/>
      <c r="P44" s="36">
        <f>P45</f>
        <v>22259</v>
      </c>
      <c r="Q44" s="37"/>
      <c r="R44" s="37"/>
      <c r="S44" s="37"/>
    </row>
    <row r="45" spans="1:19" s="7" customFormat="1" ht="12.75">
      <c r="A45" s="96" t="s">
        <v>62</v>
      </c>
      <c r="B45" s="96"/>
      <c r="C45" s="26" t="s">
        <v>26</v>
      </c>
      <c r="D45" s="27" t="s">
        <v>63</v>
      </c>
      <c r="E45" s="64">
        <f>I45+K45</f>
        <v>22254</v>
      </c>
      <c r="F45" s="64">
        <f t="shared" si="1"/>
        <v>22254</v>
      </c>
      <c r="G45" s="64">
        <f>22084+256-86</f>
        <v>22254</v>
      </c>
      <c r="H45" s="64"/>
      <c r="I45" s="64">
        <f t="shared" si="5"/>
        <v>22254</v>
      </c>
      <c r="J45" s="64"/>
      <c r="K45" s="64"/>
      <c r="L45" s="30">
        <f>P45+R45</f>
        <v>22259</v>
      </c>
      <c r="M45" s="31">
        <f t="shared" si="2"/>
        <v>22259</v>
      </c>
      <c r="N45" s="75">
        <v>22259</v>
      </c>
      <c r="O45" s="31"/>
      <c r="P45" s="30">
        <f>N45+O45</f>
        <v>22259</v>
      </c>
      <c r="Q45" s="31"/>
      <c r="R45" s="31"/>
      <c r="S45" s="31"/>
    </row>
    <row r="46" spans="1:19" s="7" customFormat="1" ht="12.75">
      <c r="A46" s="96" t="s">
        <v>64</v>
      </c>
      <c r="B46" s="96"/>
      <c r="C46" s="26" t="s">
        <v>26</v>
      </c>
      <c r="D46" s="27" t="s">
        <v>65</v>
      </c>
      <c r="E46" s="28"/>
      <c r="F46" s="29">
        <f t="shared" si="1"/>
        <v>0</v>
      </c>
      <c r="G46" s="29"/>
      <c r="H46" s="29"/>
      <c r="I46" s="28"/>
      <c r="J46" s="29"/>
      <c r="K46" s="29"/>
      <c r="L46" s="30"/>
      <c r="M46" s="31">
        <f t="shared" si="2"/>
        <v>0</v>
      </c>
      <c r="N46" s="31"/>
      <c r="O46" s="31"/>
      <c r="P46" s="30"/>
      <c r="Q46" s="31"/>
      <c r="R46" s="31"/>
      <c r="S46" s="31"/>
    </row>
    <row r="47" spans="1:19" s="7" customFormat="1" ht="27" customHeight="1">
      <c r="A47" s="96" t="s">
        <v>66</v>
      </c>
      <c r="B47" s="96"/>
      <c r="C47" s="26" t="s">
        <v>26</v>
      </c>
      <c r="D47" s="27" t="s">
        <v>67</v>
      </c>
      <c r="E47" s="28">
        <f>I47+K47</f>
        <v>42</v>
      </c>
      <c r="F47" s="29">
        <f t="shared" si="1"/>
        <v>42</v>
      </c>
      <c r="G47" s="29">
        <v>42</v>
      </c>
      <c r="H47" s="29"/>
      <c r="I47" s="28">
        <f>G47+H47</f>
        <v>42</v>
      </c>
      <c r="J47" s="29"/>
      <c r="K47" s="29"/>
      <c r="L47" s="30">
        <f>P47+R47</f>
        <v>0</v>
      </c>
      <c r="M47" s="31">
        <f t="shared" si="2"/>
        <v>0</v>
      </c>
      <c r="N47" s="31"/>
      <c r="O47" s="31"/>
      <c r="P47" s="30">
        <f>N47+O47</f>
        <v>0</v>
      </c>
      <c r="Q47" s="31"/>
      <c r="R47" s="31"/>
      <c r="S47" s="31"/>
    </row>
    <row r="48" spans="1:19" s="7" customFormat="1" ht="39.75" customHeight="1">
      <c r="A48" s="96" t="s">
        <v>68</v>
      </c>
      <c r="B48" s="96"/>
      <c r="C48" s="26" t="s">
        <v>26</v>
      </c>
      <c r="D48" s="27" t="s">
        <v>69</v>
      </c>
      <c r="E48" s="28"/>
      <c r="F48" s="29">
        <f t="shared" si="1"/>
        <v>0</v>
      </c>
      <c r="G48" s="29"/>
      <c r="H48" s="29"/>
      <c r="I48" s="28"/>
      <c r="J48" s="29"/>
      <c r="K48" s="29"/>
      <c r="L48" s="30"/>
      <c r="M48" s="31">
        <f t="shared" si="2"/>
        <v>0</v>
      </c>
      <c r="N48" s="31"/>
      <c r="O48" s="31"/>
      <c r="P48" s="30"/>
      <c r="Q48" s="31"/>
      <c r="R48" s="31"/>
      <c r="S48" s="31"/>
    </row>
    <row r="49" spans="1:19" s="7" customFormat="1" ht="12.75">
      <c r="A49" s="96" t="s">
        <v>70</v>
      </c>
      <c r="B49" s="96"/>
      <c r="C49" s="26" t="s">
        <v>26</v>
      </c>
      <c r="D49" s="27" t="s">
        <v>71</v>
      </c>
      <c r="E49" s="28">
        <f>I49+K49</f>
        <v>9375</v>
      </c>
      <c r="F49" s="29">
        <f t="shared" si="1"/>
        <v>9375</v>
      </c>
      <c r="G49" s="29">
        <f>122098-113815+(935-169)+86</f>
        <v>9135</v>
      </c>
      <c r="H49" s="29">
        <f>66+2+3+1</f>
        <v>72</v>
      </c>
      <c r="I49" s="28">
        <f>G49+H49</f>
        <v>9207</v>
      </c>
      <c r="J49" s="29"/>
      <c r="K49" s="29">
        <f>121+19+6+3+19</f>
        <v>168</v>
      </c>
      <c r="L49" s="30">
        <f>P49+R49</f>
        <v>7943</v>
      </c>
      <c r="M49" s="31">
        <f t="shared" si="2"/>
        <v>7943</v>
      </c>
      <c r="N49" s="31">
        <v>7529</v>
      </c>
      <c r="O49" s="31">
        <v>79</v>
      </c>
      <c r="P49" s="30">
        <f>N49+O49</f>
        <v>7608</v>
      </c>
      <c r="Q49" s="31"/>
      <c r="R49" s="31">
        <v>335</v>
      </c>
      <c r="S49" s="31"/>
    </row>
    <row r="50" spans="1:19" s="7" customFormat="1" ht="40.5" customHeight="1">
      <c r="A50" s="111" t="s">
        <v>72</v>
      </c>
      <c r="B50" s="111"/>
      <c r="C50" s="34" t="s">
        <v>26</v>
      </c>
      <c r="D50" s="35" t="s">
        <v>73</v>
      </c>
      <c r="E50" s="28">
        <f>SUM(E51:E56)</f>
        <v>169</v>
      </c>
      <c r="F50" s="28">
        <f t="shared" si="1"/>
        <v>169</v>
      </c>
      <c r="G50" s="28">
        <f>G51+G52+G53+G54+G55+G56</f>
        <v>169</v>
      </c>
      <c r="H50" s="28">
        <f>H51+H52+H53+H54+H55+H56</f>
        <v>0</v>
      </c>
      <c r="I50" s="28">
        <f>SUM(I51:I56)</f>
        <v>169</v>
      </c>
      <c r="J50" s="28"/>
      <c r="K50" s="28">
        <f>K51+K52+K53+K54+K55+K56</f>
        <v>0</v>
      </c>
      <c r="L50" s="36">
        <f>SUM(L51:L56)</f>
        <v>58</v>
      </c>
      <c r="M50" s="37">
        <f t="shared" si="2"/>
        <v>58</v>
      </c>
      <c r="N50" s="37">
        <f>N51+N52+N53+N54+N55+N56</f>
        <v>58</v>
      </c>
      <c r="O50" s="37">
        <f>O51+O52+O53+O54+O55+O56</f>
        <v>0</v>
      </c>
      <c r="P50" s="36">
        <f>SUM(P51:P56)</f>
        <v>58</v>
      </c>
      <c r="Q50" s="37"/>
      <c r="R50" s="37">
        <f>R51+R52+R53+R54+R55+R56</f>
        <v>0</v>
      </c>
      <c r="S50" s="37"/>
    </row>
    <row r="51" spans="1:19" s="7" customFormat="1" ht="12.75">
      <c r="A51" s="96" t="s">
        <v>74</v>
      </c>
      <c r="B51" s="96"/>
      <c r="C51" s="26" t="s">
        <v>26</v>
      </c>
      <c r="D51" s="27" t="s">
        <v>75</v>
      </c>
      <c r="E51" s="28"/>
      <c r="F51" s="29">
        <f t="shared" si="1"/>
        <v>0</v>
      </c>
      <c r="G51" s="29"/>
      <c r="H51" s="29"/>
      <c r="I51" s="28"/>
      <c r="J51" s="29"/>
      <c r="K51" s="29"/>
      <c r="L51" s="30"/>
      <c r="M51" s="31">
        <f t="shared" si="2"/>
        <v>0</v>
      </c>
      <c r="N51" s="31"/>
      <c r="O51" s="31"/>
      <c r="P51" s="30"/>
      <c r="Q51" s="31"/>
      <c r="R51" s="31"/>
      <c r="S51" s="31"/>
    </row>
    <row r="52" spans="1:19" s="7" customFormat="1" ht="12.75">
      <c r="A52" s="96" t="s">
        <v>76</v>
      </c>
      <c r="B52" s="96"/>
      <c r="C52" s="26" t="s">
        <v>26</v>
      </c>
      <c r="D52" s="27" t="s">
        <v>77</v>
      </c>
      <c r="E52" s="28"/>
      <c r="F52" s="29">
        <f t="shared" si="1"/>
        <v>0</v>
      </c>
      <c r="G52" s="29"/>
      <c r="H52" s="29"/>
      <c r="I52" s="28"/>
      <c r="J52" s="29"/>
      <c r="K52" s="29"/>
      <c r="L52" s="30"/>
      <c r="M52" s="31">
        <f t="shared" si="2"/>
        <v>0</v>
      </c>
      <c r="N52" s="31"/>
      <c r="O52" s="31"/>
      <c r="P52" s="30"/>
      <c r="Q52" s="31"/>
      <c r="R52" s="31"/>
      <c r="S52" s="31"/>
    </row>
    <row r="53" spans="1:19" s="7" customFormat="1" ht="12.75">
      <c r="A53" s="96" t="s">
        <v>78</v>
      </c>
      <c r="B53" s="96"/>
      <c r="C53" s="26" t="s">
        <v>26</v>
      </c>
      <c r="D53" s="27" t="s">
        <v>79</v>
      </c>
      <c r="E53" s="28"/>
      <c r="F53" s="29">
        <f t="shared" si="1"/>
        <v>0</v>
      </c>
      <c r="G53" s="29"/>
      <c r="H53" s="29"/>
      <c r="I53" s="28"/>
      <c r="J53" s="29"/>
      <c r="K53" s="29"/>
      <c r="L53" s="30"/>
      <c r="M53" s="31">
        <f t="shared" si="2"/>
        <v>0</v>
      </c>
      <c r="N53" s="31"/>
      <c r="O53" s="31"/>
      <c r="P53" s="30"/>
      <c r="Q53" s="31"/>
      <c r="R53" s="31"/>
      <c r="S53" s="31"/>
    </row>
    <row r="54" spans="1:19" s="7" customFormat="1" ht="12.75">
      <c r="A54" s="96" t="s">
        <v>80</v>
      </c>
      <c r="B54" s="96"/>
      <c r="C54" s="26" t="s">
        <v>26</v>
      </c>
      <c r="D54" s="27" t="s">
        <v>81</v>
      </c>
      <c r="E54" s="28">
        <f>I54+K54</f>
        <v>169</v>
      </c>
      <c r="F54" s="29">
        <f>E54</f>
        <v>169</v>
      </c>
      <c r="G54" s="90">
        <f>137+32</f>
        <v>169</v>
      </c>
      <c r="H54" s="29"/>
      <c r="I54" s="28">
        <f>G54+H54</f>
        <v>169</v>
      </c>
      <c r="J54" s="29"/>
      <c r="K54" s="29"/>
      <c r="L54" s="30">
        <f>P54+R54</f>
        <v>58</v>
      </c>
      <c r="M54" s="31">
        <f t="shared" si="2"/>
        <v>58</v>
      </c>
      <c r="N54" s="31">
        <v>58</v>
      </c>
      <c r="O54" s="31"/>
      <c r="P54" s="30">
        <f>N54+O54</f>
        <v>58</v>
      </c>
      <c r="Q54" s="31"/>
      <c r="R54" s="31"/>
      <c r="S54" s="31"/>
    </row>
    <row r="55" spans="1:19" s="7" customFormat="1" ht="12.75">
      <c r="A55" s="96" t="s">
        <v>82</v>
      </c>
      <c r="B55" s="96"/>
      <c r="C55" s="26" t="s">
        <v>26</v>
      </c>
      <c r="D55" s="27" t="s">
        <v>83</v>
      </c>
      <c r="E55" s="28"/>
      <c r="F55" s="29">
        <f t="shared" si="1"/>
        <v>0</v>
      </c>
      <c r="G55" s="29"/>
      <c r="H55" s="29"/>
      <c r="I55" s="28"/>
      <c r="J55" s="29"/>
      <c r="K55" s="29"/>
      <c r="L55" s="30"/>
      <c r="M55" s="31">
        <f t="shared" si="2"/>
        <v>0</v>
      </c>
      <c r="N55" s="31"/>
      <c r="O55" s="31"/>
      <c r="P55" s="30"/>
      <c r="Q55" s="31"/>
      <c r="R55" s="31"/>
      <c r="S55" s="31"/>
    </row>
    <row r="56" spans="1:19" s="7" customFormat="1" ht="12.75">
      <c r="A56" s="96" t="s">
        <v>84</v>
      </c>
      <c r="B56" s="96"/>
      <c r="C56" s="26" t="s">
        <v>26</v>
      </c>
      <c r="D56" s="27" t="s">
        <v>85</v>
      </c>
      <c r="E56" s="28"/>
      <c r="F56" s="29">
        <f t="shared" si="1"/>
        <v>0</v>
      </c>
      <c r="G56" s="29"/>
      <c r="H56" s="29"/>
      <c r="I56" s="28"/>
      <c r="J56" s="29"/>
      <c r="K56" s="29"/>
      <c r="L56" s="30"/>
      <c r="M56" s="31">
        <f t="shared" si="2"/>
        <v>0</v>
      </c>
      <c r="N56" s="31"/>
      <c r="O56" s="31"/>
      <c r="P56" s="30"/>
      <c r="Q56" s="31"/>
      <c r="R56" s="31"/>
      <c r="S56" s="31"/>
    </row>
    <row r="57" spans="1:19" s="8" customFormat="1" ht="14.25" customHeight="1">
      <c r="A57" s="109" t="s">
        <v>86</v>
      </c>
      <c r="B57" s="110"/>
      <c r="C57" s="38"/>
      <c r="D57" s="38"/>
      <c r="E57" s="39"/>
      <c r="F57" s="29">
        <f t="shared" si="1"/>
        <v>0</v>
      </c>
      <c r="G57" s="40"/>
      <c r="H57" s="40"/>
      <c r="I57" s="39"/>
      <c r="J57" s="40"/>
      <c r="K57" s="40"/>
      <c r="L57" s="41"/>
      <c r="M57" s="31">
        <f t="shared" si="2"/>
        <v>0</v>
      </c>
      <c r="N57" s="38"/>
      <c r="O57" s="38"/>
      <c r="P57" s="41"/>
      <c r="Q57" s="38"/>
      <c r="R57" s="38"/>
      <c r="S57" s="38"/>
    </row>
    <row r="58" spans="1:19" s="7" customFormat="1" ht="12.75">
      <c r="A58" s="96" t="s">
        <v>87</v>
      </c>
      <c r="B58" s="96"/>
      <c r="C58" s="26" t="s">
        <v>26</v>
      </c>
      <c r="D58" s="27" t="s">
        <v>88</v>
      </c>
      <c r="E58" s="28">
        <f aca="true" t="shared" si="6" ref="E58:E66">I58+K58</f>
        <v>77624</v>
      </c>
      <c r="F58" s="29">
        <f t="shared" si="1"/>
        <v>77624</v>
      </c>
      <c r="G58" s="89">
        <f>G20-G59</f>
        <v>72683</v>
      </c>
      <c r="H58" s="89">
        <f>H20-H59</f>
        <v>63</v>
      </c>
      <c r="I58" s="28">
        <f aca="true" t="shared" si="7" ref="I58:I66">G58+H58</f>
        <v>72746</v>
      </c>
      <c r="J58" s="29"/>
      <c r="K58" s="29">
        <f>K20-K59</f>
        <v>4878</v>
      </c>
      <c r="L58" s="30">
        <f aca="true" t="shared" si="8" ref="L58:L65">P58+R58</f>
        <v>72750</v>
      </c>
      <c r="M58" s="31">
        <f t="shared" si="2"/>
        <v>72750</v>
      </c>
      <c r="N58" s="31">
        <f>N20-N59</f>
        <v>65974</v>
      </c>
      <c r="O58" s="31">
        <f>O20-O59</f>
        <v>259</v>
      </c>
      <c r="P58" s="30">
        <f aca="true" t="shared" si="9" ref="P58:P65">N58+O58</f>
        <v>66233</v>
      </c>
      <c r="Q58" s="31"/>
      <c r="R58" s="31">
        <f>R20-R59</f>
        <v>6517</v>
      </c>
      <c r="S58" s="31"/>
    </row>
    <row r="59" spans="1:19" s="7" customFormat="1" ht="12.75">
      <c r="A59" s="96" t="s">
        <v>89</v>
      </c>
      <c r="B59" s="96"/>
      <c r="C59" s="26" t="s">
        <v>26</v>
      </c>
      <c r="D59" s="27" t="s">
        <v>90</v>
      </c>
      <c r="E59" s="28">
        <f t="shared" si="6"/>
        <v>52401</v>
      </c>
      <c r="F59" s="29">
        <f t="shared" si="1"/>
        <v>52401</v>
      </c>
      <c r="G59" s="89">
        <f>15009+12537+11863+10772</f>
        <v>50181</v>
      </c>
      <c r="H59" s="89">
        <f>59+84+114+52</f>
        <v>309</v>
      </c>
      <c r="I59" s="28">
        <f t="shared" si="7"/>
        <v>50490</v>
      </c>
      <c r="J59" s="29"/>
      <c r="K59" s="29">
        <f>28855+23546-50181-309</f>
        <v>1911</v>
      </c>
      <c r="L59" s="30">
        <f t="shared" si="8"/>
        <v>51056</v>
      </c>
      <c r="M59" s="31">
        <f t="shared" si="2"/>
        <v>51056</v>
      </c>
      <c r="N59" s="31">
        <v>48340</v>
      </c>
      <c r="O59" s="31">
        <v>348</v>
      </c>
      <c r="P59" s="30">
        <f t="shared" si="9"/>
        <v>48688</v>
      </c>
      <c r="Q59" s="31"/>
      <c r="R59" s="31">
        <v>2368</v>
      </c>
      <c r="S59" s="31"/>
    </row>
    <row r="60" spans="1:19" s="7" customFormat="1" ht="51.75" customHeight="1">
      <c r="A60" s="108" t="s">
        <v>91</v>
      </c>
      <c r="B60" s="108"/>
      <c r="C60" s="26" t="s">
        <v>26</v>
      </c>
      <c r="D60" s="67" t="s">
        <v>92</v>
      </c>
      <c r="E60" s="63">
        <f t="shared" si="6"/>
        <v>12700</v>
      </c>
      <c r="F60" s="62">
        <f t="shared" si="1"/>
        <v>12700</v>
      </c>
      <c r="G60" s="29">
        <f>214+46+7378+3799+1263</f>
        <v>12700</v>
      </c>
      <c r="H60" s="62"/>
      <c r="I60" s="63">
        <f t="shared" si="7"/>
        <v>12700</v>
      </c>
      <c r="J60" s="65"/>
      <c r="K60" s="65"/>
      <c r="L60" s="30">
        <f t="shared" si="8"/>
        <v>0</v>
      </c>
      <c r="M60" s="31">
        <f t="shared" si="2"/>
        <v>0</v>
      </c>
      <c r="N60" s="31"/>
      <c r="O60" s="31"/>
      <c r="P60" s="30">
        <f t="shared" si="9"/>
        <v>0</v>
      </c>
      <c r="Q60" s="31"/>
      <c r="R60" s="31"/>
      <c r="S60" s="31"/>
    </row>
    <row r="61" spans="1:19" s="7" customFormat="1" ht="34.5" customHeight="1">
      <c r="A61" s="96" t="s">
        <v>93</v>
      </c>
      <c r="B61" s="96"/>
      <c r="C61" s="26" t="s">
        <v>26</v>
      </c>
      <c r="D61" s="27" t="s">
        <v>94</v>
      </c>
      <c r="E61" s="28">
        <f t="shared" si="6"/>
        <v>7192</v>
      </c>
      <c r="F61" s="29">
        <f t="shared" si="1"/>
        <v>7192</v>
      </c>
      <c r="G61" s="28">
        <f>G62+G63+G64+G65</f>
        <v>7192</v>
      </c>
      <c r="H61" s="29"/>
      <c r="I61" s="28">
        <f t="shared" si="7"/>
        <v>7192</v>
      </c>
      <c r="J61" s="29"/>
      <c r="K61" s="29"/>
      <c r="L61" s="30">
        <f t="shared" si="8"/>
        <v>9158</v>
      </c>
      <c r="M61" s="31">
        <f t="shared" si="2"/>
        <v>9158</v>
      </c>
      <c r="N61" s="31">
        <f>N62+N63+N64+N65</f>
        <v>9158</v>
      </c>
      <c r="O61" s="31"/>
      <c r="P61" s="30">
        <f t="shared" si="9"/>
        <v>9158</v>
      </c>
      <c r="Q61" s="31"/>
      <c r="R61" s="31"/>
      <c r="S61" s="31"/>
    </row>
    <row r="62" spans="1:19" s="7" customFormat="1" ht="12" customHeight="1">
      <c r="A62" s="96" t="s">
        <v>95</v>
      </c>
      <c r="B62" s="96"/>
      <c r="C62" s="26" t="s">
        <v>26</v>
      </c>
      <c r="D62" s="27"/>
      <c r="E62" s="28">
        <f t="shared" si="6"/>
        <v>881</v>
      </c>
      <c r="F62" s="29">
        <f t="shared" si="1"/>
        <v>881</v>
      </c>
      <c r="G62" s="28">
        <f>497+384</f>
        <v>881</v>
      </c>
      <c r="H62" s="29"/>
      <c r="I62" s="28">
        <f t="shared" si="7"/>
        <v>881</v>
      </c>
      <c r="J62" s="29"/>
      <c r="K62" s="29"/>
      <c r="L62" s="30">
        <f t="shared" si="8"/>
        <v>1035</v>
      </c>
      <c r="M62" s="31">
        <f t="shared" si="2"/>
        <v>1035</v>
      </c>
      <c r="N62" s="31">
        <v>1035</v>
      </c>
      <c r="O62" s="31"/>
      <c r="P62" s="30">
        <f t="shared" si="9"/>
        <v>1035</v>
      </c>
      <c r="Q62" s="31"/>
      <c r="R62" s="31"/>
      <c r="S62" s="31"/>
    </row>
    <row r="63" spans="1:19" s="7" customFormat="1" ht="12.75">
      <c r="A63" s="96" t="s">
        <v>96</v>
      </c>
      <c r="B63" s="96"/>
      <c r="C63" s="26" t="s">
        <v>26</v>
      </c>
      <c r="D63" s="27"/>
      <c r="E63" s="28">
        <f t="shared" si="6"/>
        <v>6256</v>
      </c>
      <c r="F63" s="29">
        <f t="shared" si="1"/>
        <v>6256</v>
      </c>
      <c r="G63" s="28">
        <f>532+161+4273+1290</f>
        <v>6256</v>
      </c>
      <c r="H63" s="29"/>
      <c r="I63" s="28">
        <f t="shared" si="7"/>
        <v>6256</v>
      </c>
      <c r="J63" s="29"/>
      <c r="K63" s="29"/>
      <c r="L63" s="30">
        <f t="shared" si="8"/>
        <v>7257</v>
      </c>
      <c r="M63" s="31">
        <f t="shared" si="2"/>
        <v>7257</v>
      </c>
      <c r="N63" s="31">
        <v>7257</v>
      </c>
      <c r="O63" s="31"/>
      <c r="P63" s="30">
        <f t="shared" si="9"/>
        <v>7257</v>
      </c>
      <c r="Q63" s="31"/>
      <c r="R63" s="31"/>
      <c r="S63" s="31"/>
    </row>
    <row r="64" spans="1:19" s="7" customFormat="1" ht="33.75" customHeight="1">
      <c r="A64" s="96" t="s">
        <v>97</v>
      </c>
      <c r="B64" s="96"/>
      <c r="C64" s="26" t="s">
        <v>26</v>
      </c>
      <c r="D64" s="27"/>
      <c r="E64" s="28">
        <f t="shared" si="6"/>
        <v>0</v>
      </c>
      <c r="F64" s="29">
        <f t="shared" si="1"/>
        <v>0</v>
      </c>
      <c r="G64" s="28"/>
      <c r="H64" s="29"/>
      <c r="I64" s="28">
        <f t="shared" si="7"/>
        <v>0</v>
      </c>
      <c r="J64" s="29"/>
      <c r="K64" s="29"/>
      <c r="L64" s="30">
        <f t="shared" si="8"/>
        <v>813</v>
      </c>
      <c r="M64" s="31">
        <f t="shared" si="2"/>
        <v>813</v>
      </c>
      <c r="N64" s="31">
        <v>813</v>
      </c>
      <c r="O64" s="31"/>
      <c r="P64" s="30">
        <f t="shared" si="9"/>
        <v>813</v>
      </c>
      <c r="Q64" s="31"/>
      <c r="R64" s="31"/>
      <c r="S64" s="31"/>
    </row>
    <row r="65" spans="1:19" s="7" customFormat="1" ht="18.75" customHeight="1">
      <c r="A65" s="96" t="s">
        <v>98</v>
      </c>
      <c r="B65" s="96"/>
      <c r="C65" s="26" t="s">
        <v>26</v>
      </c>
      <c r="D65" s="27"/>
      <c r="E65" s="28">
        <f t="shared" si="6"/>
        <v>55</v>
      </c>
      <c r="F65" s="29">
        <f t="shared" si="1"/>
        <v>55</v>
      </c>
      <c r="G65" s="28">
        <v>55</v>
      </c>
      <c r="H65" s="29"/>
      <c r="I65" s="28">
        <f t="shared" si="7"/>
        <v>55</v>
      </c>
      <c r="J65" s="29"/>
      <c r="K65" s="29"/>
      <c r="L65" s="30">
        <f t="shared" si="8"/>
        <v>53</v>
      </c>
      <c r="M65" s="31">
        <f t="shared" si="2"/>
        <v>53</v>
      </c>
      <c r="N65" s="31">
        <v>53</v>
      </c>
      <c r="O65" s="31"/>
      <c r="P65" s="30">
        <f t="shared" si="9"/>
        <v>53</v>
      </c>
      <c r="Q65" s="31"/>
      <c r="R65" s="31"/>
      <c r="S65" s="31"/>
    </row>
    <row r="66" spans="1:19" s="7" customFormat="1" ht="43.5" customHeight="1">
      <c r="A66" s="96" t="s">
        <v>99</v>
      </c>
      <c r="B66" s="96"/>
      <c r="C66" s="26" t="s">
        <v>26</v>
      </c>
      <c r="D66" s="27" t="s">
        <v>100</v>
      </c>
      <c r="E66" s="28">
        <f t="shared" si="6"/>
        <v>0</v>
      </c>
      <c r="F66" s="29">
        <f t="shared" si="1"/>
        <v>0</v>
      </c>
      <c r="G66" s="29">
        <v>0</v>
      </c>
      <c r="H66" s="29"/>
      <c r="I66" s="28">
        <f t="shared" si="7"/>
        <v>0</v>
      </c>
      <c r="J66" s="29"/>
      <c r="K66" s="29"/>
      <c r="L66" s="30"/>
      <c r="M66" s="31">
        <f t="shared" si="2"/>
        <v>0</v>
      </c>
      <c r="N66" s="31"/>
      <c r="O66" s="31"/>
      <c r="P66" s="30"/>
      <c r="Q66" s="31"/>
      <c r="R66" s="31"/>
      <c r="S66" s="31"/>
    </row>
    <row r="67" spans="3:13" ht="9" customHeight="1">
      <c r="C67" s="9"/>
      <c r="L67" s="42"/>
      <c r="M67" s="42"/>
    </row>
    <row r="68" spans="1:19" s="4" customFormat="1" ht="11.25" customHeight="1">
      <c r="A68" s="55"/>
      <c r="B68" s="102" t="s">
        <v>101</v>
      </c>
      <c r="C68" s="102"/>
      <c r="D68" s="102"/>
      <c r="E68" s="102"/>
      <c r="F68" s="102"/>
      <c r="G68" s="102"/>
      <c r="H68" s="102"/>
      <c r="I68" s="55"/>
      <c r="J68" s="55"/>
      <c r="K68" s="55"/>
      <c r="L68" s="56"/>
      <c r="M68" s="56"/>
      <c r="N68" s="55"/>
      <c r="O68" s="55"/>
      <c r="P68" s="55"/>
      <c r="Q68" s="55"/>
      <c r="R68" s="55"/>
      <c r="S68" s="55"/>
    </row>
    <row r="69" spans="1:19" s="1" customFormat="1" ht="12.75" customHeight="1">
      <c r="A69" s="57"/>
      <c r="B69" s="57" t="s">
        <v>125</v>
      </c>
      <c r="C69" s="58"/>
      <c r="D69" s="58"/>
      <c r="E69" s="58"/>
      <c r="F69" s="58"/>
      <c r="G69" s="58"/>
      <c r="H69" s="58"/>
      <c r="I69" s="58"/>
      <c r="J69" s="58"/>
      <c r="K69" s="58"/>
      <c r="L69" s="56"/>
      <c r="M69" s="56"/>
      <c r="N69" s="58"/>
      <c r="O69" s="58"/>
      <c r="P69" s="58"/>
      <c r="Q69" s="58"/>
      <c r="R69" s="58"/>
      <c r="S69" s="58"/>
    </row>
    <row r="70" spans="1:19" s="4" customFormat="1" ht="11.25" customHeight="1">
      <c r="A70" s="55"/>
      <c r="B70" s="55" t="s">
        <v>126</v>
      </c>
      <c r="C70" s="55"/>
      <c r="D70" s="55"/>
      <c r="E70" s="55"/>
      <c r="F70" s="55"/>
      <c r="G70" s="55"/>
      <c r="H70" s="55"/>
      <c r="I70" s="55"/>
      <c r="J70" s="55"/>
      <c r="K70" s="55"/>
      <c r="L70" s="56"/>
      <c r="M70" s="56"/>
      <c r="N70" s="55"/>
      <c r="O70" s="55"/>
      <c r="P70" s="55"/>
      <c r="Q70" s="55"/>
      <c r="R70" s="55"/>
      <c r="S70" s="55"/>
    </row>
    <row r="71" spans="1:19" s="4" customFormat="1" ht="12" customHeight="1">
      <c r="A71" s="55"/>
      <c r="B71" s="55" t="s">
        <v>127</v>
      </c>
      <c r="C71" s="55"/>
      <c r="D71" s="55"/>
      <c r="E71" s="55"/>
      <c r="F71" s="55"/>
      <c r="G71" s="55"/>
      <c r="H71" s="55"/>
      <c r="I71" s="55"/>
      <c r="J71" s="55"/>
      <c r="K71" s="55"/>
      <c r="L71" s="56"/>
      <c r="M71" s="56"/>
      <c r="N71" s="55"/>
      <c r="O71" s="55"/>
      <c r="P71" s="55"/>
      <c r="Q71" s="55"/>
      <c r="R71" s="55"/>
      <c r="S71" s="55"/>
    </row>
    <row r="72" spans="1:19" s="1" customFormat="1" ht="24.75" customHeight="1">
      <c r="A72" s="57"/>
      <c r="B72" s="57" t="s">
        <v>128</v>
      </c>
      <c r="C72" s="58"/>
      <c r="D72" s="58"/>
      <c r="E72" s="58"/>
      <c r="F72" s="58"/>
      <c r="G72" s="58"/>
      <c r="H72" s="58"/>
      <c r="I72" s="58"/>
      <c r="J72" s="58"/>
      <c r="K72" s="58"/>
      <c r="L72" s="56"/>
      <c r="M72" s="56"/>
      <c r="N72" s="58"/>
      <c r="O72" s="58"/>
      <c r="P72" s="58"/>
      <c r="Q72" s="58"/>
      <c r="R72" s="58"/>
      <c r="S72" s="58"/>
    </row>
    <row r="73" spans="1:19" s="1" customFormat="1" ht="38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42"/>
      <c r="M73" s="42"/>
      <c r="N73" s="20"/>
      <c r="O73" s="20"/>
      <c r="P73" s="20"/>
      <c r="Q73" s="12"/>
      <c r="R73" s="12"/>
      <c r="S73" s="12"/>
    </row>
    <row r="74" spans="1:19" s="1" customFormat="1" ht="30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42"/>
      <c r="M74" s="42"/>
      <c r="N74" s="20"/>
      <c r="O74" s="20"/>
      <c r="P74" s="20"/>
      <c r="Q74" s="20"/>
      <c r="R74" s="20"/>
      <c r="S74" s="10" t="s">
        <v>102</v>
      </c>
    </row>
    <row r="75" spans="1:19" s="11" customFormat="1" ht="57.75" customHeight="1">
      <c r="A75" s="103" t="s">
        <v>103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42"/>
      <c r="M75" s="42"/>
      <c r="N75" s="43"/>
      <c r="O75" s="43"/>
      <c r="P75" s="43"/>
      <c r="Q75" s="43"/>
      <c r="R75" s="43"/>
      <c r="S75" s="43"/>
    </row>
    <row r="76" spans="1:19" s="5" customFormat="1" ht="9" customHeight="1">
      <c r="A76" s="104" t="s">
        <v>8</v>
      </c>
      <c r="B76" s="105"/>
      <c r="C76" s="104" t="s">
        <v>9</v>
      </c>
      <c r="D76" s="104" t="s">
        <v>10</v>
      </c>
      <c r="E76" s="104" t="s">
        <v>104</v>
      </c>
      <c r="F76" s="97" t="s">
        <v>11</v>
      </c>
      <c r="G76" s="97" t="s">
        <v>12</v>
      </c>
      <c r="H76" s="97"/>
      <c r="I76" s="97"/>
      <c r="J76" s="97"/>
      <c r="K76" s="97"/>
      <c r="L76" s="97" t="s">
        <v>105</v>
      </c>
      <c r="M76" s="97" t="s">
        <v>150</v>
      </c>
      <c r="N76" s="97" t="s">
        <v>15</v>
      </c>
      <c r="O76" s="97"/>
      <c r="P76" s="97"/>
      <c r="Q76" s="97"/>
      <c r="R76" s="97"/>
      <c r="S76" s="98" t="s">
        <v>16</v>
      </c>
    </row>
    <row r="77" spans="1:19" s="5" customFormat="1" ht="93" customHeight="1">
      <c r="A77" s="106"/>
      <c r="B77" s="107"/>
      <c r="C77" s="106"/>
      <c r="D77" s="106"/>
      <c r="E77" s="106"/>
      <c r="F77" s="97"/>
      <c r="G77" s="47" t="s">
        <v>106</v>
      </c>
      <c r="H77" s="47" t="s">
        <v>18</v>
      </c>
      <c r="I77" s="47" t="s">
        <v>107</v>
      </c>
      <c r="J77" s="47" t="s">
        <v>20</v>
      </c>
      <c r="K77" s="47" t="s">
        <v>21</v>
      </c>
      <c r="L77" s="97"/>
      <c r="M77" s="97"/>
      <c r="N77" s="47" t="s">
        <v>17</v>
      </c>
      <c r="O77" s="47" t="s">
        <v>22</v>
      </c>
      <c r="P77" s="47" t="s">
        <v>23</v>
      </c>
      <c r="Q77" s="47" t="s">
        <v>20</v>
      </c>
      <c r="R77" s="47" t="s">
        <v>21</v>
      </c>
      <c r="S77" s="99"/>
    </row>
    <row r="78" spans="1:19" s="6" customFormat="1" ht="9" customHeight="1">
      <c r="A78" s="100">
        <v>1</v>
      </c>
      <c r="B78" s="101"/>
      <c r="C78" s="50">
        <v>2</v>
      </c>
      <c r="D78" s="50">
        <v>3</v>
      </c>
      <c r="E78" s="50">
        <v>4</v>
      </c>
      <c r="F78" s="50">
        <v>5</v>
      </c>
      <c r="G78" s="50">
        <v>6</v>
      </c>
      <c r="H78" s="50">
        <v>7</v>
      </c>
      <c r="I78" s="60">
        <v>8</v>
      </c>
      <c r="J78" s="60">
        <v>9</v>
      </c>
      <c r="K78" s="50">
        <v>10</v>
      </c>
      <c r="L78" s="50">
        <v>11</v>
      </c>
      <c r="M78" s="50">
        <v>12</v>
      </c>
      <c r="N78" s="50">
        <v>13</v>
      </c>
      <c r="O78" s="50">
        <v>14</v>
      </c>
      <c r="P78" s="60">
        <v>15</v>
      </c>
      <c r="Q78" s="60">
        <v>16</v>
      </c>
      <c r="R78" s="59">
        <v>17</v>
      </c>
      <c r="S78" s="50">
        <v>18</v>
      </c>
    </row>
    <row r="79" spans="1:19" s="7" customFormat="1" ht="11.25" customHeight="1">
      <c r="A79" s="96" t="s">
        <v>108</v>
      </c>
      <c r="B79" s="96"/>
      <c r="C79" s="26" t="s">
        <v>26</v>
      </c>
      <c r="D79" s="27" t="s">
        <v>109</v>
      </c>
      <c r="E79" s="37">
        <f>F79</f>
        <v>18886</v>
      </c>
      <c r="F79" s="37">
        <v>18886</v>
      </c>
      <c r="G79" s="31" t="s">
        <v>110</v>
      </c>
      <c r="H79" s="31" t="s">
        <v>110</v>
      </c>
      <c r="I79" s="31" t="s">
        <v>110</v>
      </c>
      <c r="J79" s="31"/>
      <c r="K79" s="31" t="s">
        <v>110</v>
      </c>
      <c r="L79" s="37">
        <f>M79</f>
        <v>19050</v>
      </c>
      <c r="M79" s="37">
        <v>19050</v>
      </c>
      <c r="N79" s="26" t="s">
        <v>110</v>
      </c>
      <c r="O79" s="26" t="s">
        <v>110</v>
      </c>
      <c r="P79" s="26" t="s">
        <v>110</v>
      </c>
      <c r="Q79" s="26"/>
      <c r="R79" s="26" t="s">
        <v>110</v>
      </c>
      <c r="S79" s="26"/>
    </row>
    <row r="80" spans="1:19" s="7" customFormat="1" ht="14.25" customHeight="1">
      <c r="A80" s="95" t="s">
        <v>111</v>
      </c>
      <c r="B80" s="95"/>
      <c r="C80" s="26" t="s">
        <v>26</v>
      </c>
      <c r="D80" s="27" t="s">
        <v>112</v>
      </c>
      <c r="E80" s="31" t="s">
        <v>110</v>
      </c>
      <c r="F80" s="31" t="s">
        <v>110</v>
      </c>
      <c r="G80" s="69">
        <v>18886</v>
      </c>
      <c r="H80" s="31" t="s">
        <v>112</v>
      </c>
      <c r="I80" s="31" t="s">
        <v>110</v>
      </c>
      <c r="J80" s="31"/>
      <c r="K80" s="31" t="s">
        <v>110</v>
      </c>
      <c r="L80" s="31" t="s">
        <v>110</v>
      </c>
      <c r="M80" s="26" t="s">
        <v>110</v>
      </c>
      <c r="N80" s="37">
        <v>19050</v>
      </c>
      <c r="O80" s="31"/>
      <c r="P80" s="26" t="s">
        <v>110</v>
      </c>
      <c r="Q80" s="26"/>
      <c r="R80" s="26" t="s">
        <v>110</v>
      </c>
      <c r="S80" s="26"/>
    </row>
    <row r="81" spans="1:19" s="7" customFormat="1" ht="58.5" customHeight="1">
      <c r="A81" s="96" t="s">
        <v>113</v>
      </c>
      <c r="B81" s="96"/>
      <c r="C81" s="26" t="s">
        <v>26</v>
      </c>
      <c r="D81" s="27" t="s">
        <v>114</v>
      </c>
      <c r="E81" s="31" t="s">
        <v>110</v>
      </c>
      <c r="F81" s="31" t="s">
        <v>110</v>
      </c>
      <c r="G81" s="31"/>
      <c r="H81" s="31"/>
      <c r="I81" s="31" t="s">
        <v>110</v>
      </c>
      <c r="J81" s="31"/>
      <c r="K81" s="31" t="s">
        <v>110</v>
      </c>
      <c r="L81" s="31" t="s">
        <v>110</v>
      </c>
      <c r="M81" s="26" t="s">
        <v>110</v>
      </c>
      <c r="N81" s="31"/>
      <c r="O81" s="31"/>
      <c r="P81" s="26" t="s">
        <v>110</v>
      </c>
      <c r="Q81" s="26"/>
      <c r="R81" s="26" t="s">
        <v>110</v>
      </c>
      <c r="S81" s="26"/>
    </row>
    <row r="82" spans="1:19" s="7" customFormat="1" ht="55.5" customHeight="1">
      <c r="A82" s="96" t="s">
        <v>115</v>
      </c>
      <c r="B82" s="96"/>
      <c r="C82" s="26" t="s">
        <v>26</v>
      </c>
      <c r="D82" s="27" t="s">
        <v>116</v>
      </c>
      <c r="E82" s="31" t="s">
        <v>110</v>
      </c>
      <c r="F82" s="31" t="s">
        <v>110</v>
      </c>
      <c r="G82" s="31"/>
      <c r="H82" s="31"/>
      <c r="I82" s="31" t="s">
        <v>110</v>
      </c>
      <c r="J82" s="31"/>
      <c r="K82" s="31" t="s">
        <v>110</v>
      </c>
      <c r="L82" s="31" t="s">
        <v>110</v>
      </c>
      <c r="M82" s="26" t="s">
        <v>110</v>
      </c>
      <c r="N82" s="26"/>
      <c r="O82" s="26"/>
      <c r="P82" s="26" t="s">
        <v>110</v>
      </c>
      <c r="Q82" s="26"/>
      <c r="R82" s="26" t="s">
        <v>110</v>
      </c>
      <c r="S82" s="26"/>
    </row>
    <row r="83" spans="1:19" s="7" customFormat="1" ht="9.75" customHeight="1">
      <c r="A83" s="96" t="s">
        <v>117</v>
      </c>
      <c r="B83" s="96"/>
      <c r="C83" s="26" t="s">
        <v>26</v>
      </c>
      <c r="D83" s="27" t="s">
        <v>118</v>
      </c>
      <c r="E83" s="68">
        <f>I83+J83</f>
        <v>1715</v>
      </c>
      <c r="F83" s="68">
        <f>E83</f>
        <v>1715</v>
      </c>
      <c r="G83" s="68" t="s">
        <v>110</v>
      </c>
      <c r="H83" s="68" t="s">
        <v>110</v>
      </c>
      <c r="I83" s="68">
        <v>1715</v>
      </c>
      <c r="J83" s="61"/>
      <c r="K83" s="61" t="s">
        <v>112</v>
      </c>
      <c r="L83" s="31">
        <f>P83+R83</f>
        <v>14364</v>
      </c>
      <c r="M83" s="31">
        <f>L83</f>
        <v>14364</v>
      </c>
      <c r="N83" s="26" t="s">
        <v>110</v>
      </c>
      <c r="O83" s="26" t="s">
        <v>110</v>
      </c>
      <c r="P83" s="31">
        <v>14364</v>
      </c>
      <c r="Q83" s="31"/>
      <c r="R83" s="26"/>
      <c r="S83" s="26"/>
    </row>
    <row r="84" spans="1:19" s="7" customFormat="1" ht="9.75" customHeight="1">
      <c r="A84" s="96" t="s">
        <v>119</v>
      </c>
      <c r="B84" s="96"/>
      <c r="C84" s="26" t="s">
        <v>26</v>
      </c>
      <c r="D84" s="27" t="s">
        <v>120</v>
      </c>
      <c r="E84" s="68">
        <f>F84</f>
        <v>1236015</v>
      </c>
      <c r="F84" s="68">
        <f>I84</f>
        <v>1236015</v>
      </c>
      <c r="G84" s="68" t="s">
        <v>110</v>
      </c>
      <c r="H84" s="68" t="s">
        <v>110</v>
      </c>
      <c r="I84" s="68">
        <v>1236015</v>
      </c>
      <c r="J84" s="61"/>
      <c r="K84" s="61" t="s">
        <v>112</v>
      </c>
      <c r="L84" s="31">
        <f>P84+R84</f>
        <v>1236015</v>
      </c>
      <c r="M84" s="31">
        <f>L84</f>
        <v>1236015</v>
      </c>
      <c r="N84" s="26" t="s">
        <v>110</v>
      </c>
      <c r="O84" s="26" t="s">
        <v>110</v>
      </c>
      <c r="P84" s="31">
        <f>757646+474217+3179+973</f>
        <v>1236015</v>
      </c>
      <c r="Q84" s="31"/>
      <c r="R84" s="26"/>
      <c r="S84" s="26"/>
    </row>
    <row r="85" spans="1:19" s="7" customFormat="1" ht="9.75" customHeight="1">
      <c r="A85" s="96" t="s">
        <v>121</v>
      </c>
      <c r="B85" s="96"/>
      <c r="C85" s="26" t="s">
        <v>26</v>
      </c>
      <c r="D85" s="27" t="s">
        <v>122</v>
      </c>
      <c r="E85" s="31">
        <f>F85</f>
        <v>7378</v>
      </c>
      <c r="F85" s="31">
        <f>I85</f>
        <v>7378</v>
      </c>
      <c r="G85" s="31" t="s">
        <v>110</v>
      </c>
      <c r="H85" s="31" t="s">
        <v>110</v>
      </c>
      <c r="I85" s="31">
        <v>7378</v>
      </c>
      <c r="J85" s="31"/>
      <c r="K85" s="31"/>
      <c r="L85" s="31">
        <f>P85+R85</f>
        <v>119</v>
      </c>
      <c r="M85" s="31">
        <f>L85</f>
        <v>119</v>
      </c>
      <c r="N85" s="26" t="s">
        <v>110</v>
      </c>
      <c r="O85" s="26" t="s">
        <v>110</v>
      </c>
      <c r="P85" s="26">
        <v>119</v>
      </c>
      <c r="Q85" s="26"/>
      <c r="R85" s="26"/>
      <c r="S85" s="26"/>
    </row>
    <row r="86" ht="10.5" customHeight="1">
      <c r="C86" s="9"/>
    </row>
    <row r="87" spans="1:19" s="1" customFormat="1" ht="8.25" customHeight="1">
      <c r="A87" s="57"/>
      <c r="B87" s="57" t="s">
        <v>125</v>
      </c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20"/>
      <c r="N87" s="20"/>
      <c r="O87" s="20"/>
      <c r="P87" s="20"/>
      <c r="Q87" s="20"/>
      <c r="R87" s="20"/>
      <c r="S87" s="20"/>
    </row>
    <row r="88" spans="1:19" s="4" customFormat="1" ht="11.25" customHeight="1">
      <c r="A88" s="55"/>
      <c r="B88" s="55" t="s">
        <v>126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9"/>
      <c r="N88" s="9"/>
      <c r="O88" s="9"/>
      <c r="P88" s="9"/>
      <c r="Q88" s="9"/>
      <c r="R88" s="9"/>
      <c r="S88" s="9"/>
    </row>
    <row r="89" spans="1:19" s="4" customFormat="1" ht="11.25" customHeight="1">
      <c r="A89" s="55"/>
      <c r="B89" s="55" t="s">
        <v>127</v>
      </c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9"/>
      <c r="N89" s="9"/>
      <c r="O89" s="9"/>
      <c r="P89" s="9"/>
      <c r="Q89" s="9"/>
      <c r="R89" s="9"/>
      <c r="S89" s="9"/>
    </row>
    <row r="90" spans="1:19" s="4" customFormat="1" ht="7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2:11" ht="12.75" customHeight="1">
      <c r="B91" s="44" t="s">
        <v>132</v>
      </c>
      <c r="C91" s="92" t="s">
        <v>133</v>
      </c>
      <c r="D91" s="92"/>
      <c r="E91" s="92"/>
      <c r="F91" s="92"/>
      <c r="G91" s="92"/>
      <c r="H91" s="92"/>
      <c r="I91" s="92"/>
      <c r="J91" s="92"/>
      <c r="K91" s="92"/>
    </row>
    <row r="92" spans="3:11" ht="36" customHeight="1">
      <c r="C92" s="92"/>
      <c r="D92" s="92"/>
      <c r="E92" s="92"/>
      <c r="F92" s="92"/>
      <c r="G92" s="92"/>
      <c r="H92" s="92"/>
      <c r="I92" s="92"/>
      <c r="J92" s="92"/>
      <c r="K92" s="92"/>
    </row>
    <row r="93" spans="1:19" s="4" customFormat="1" ht="7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s="4" customFormat="1" ht="27" customHeight="1">
      <c r="A94" s="9"/>
      <c r="B94" s="79" t="s">
        <v>123</v>
      </c>
      <c r="C94" s="80" t="s">
        <v>136</v>
      </c>
      <c r="D94" s="80"/>
      <c r="E94" s="80"/>
      <c r="F94" s="80"/>
      <c r="G94" s="80"/>
      <c r="H94" s="80"/>
      <c r="I94" s="79"/>
      <c r="J94" s="79"/>
      <c r="K94" s="79"/>
      <c r="L94" s="93"/>
      <c r="M94" s="93"/>
      <c r="N94" s="80"/>
      <c r="O94" s="81" t="s">
        <v>137</v>
      </c>
      <c r="P94" s="82"/>
      <c r="Q94" s="9"/>
      <c r="R94" s="9"/>
      <c r="S94" s="9"/>
    </row>
    <row r="95" spans="1:19" s="4" customFormat="1" ht="24.75" customHeight="1">
      <c r="A95" s="9"/>
      <c r="B95" s="79"/>
      <c r="C95" s="83" t="s">
        <v>124</v>
      </c>
      <c r="D95" s="83"/>
      <c r="E95" s="83"/>
      <c r="F95" s="83"/>
      <c r="G95" s="83"/>
      <c r="H95" s="83"/>
      <c r="I95" s="79"/>
      <c r="J95" s="79"/>
      <c r="K95" s="79"/>
      <c r="L95" s="94"/>
      <c r="M95" s="94"/>
      <c r="N95" s="83"/>
      <c r="O95" s="84" t="s">
        <v>141</v>
      </c>
      <c r="P95" s="85"/>
      <c r="Q95" s="9"/>
      <c r="R95" s="9"/>
      <c r="S95" s="9"/>
    </row>
    <row r="96" spans="1:19" s="4" customFormat="1" ht="51" customHeight="1">
      <c r="A96" s="15" t="s">
        <v>142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78"/>
      <c r="M96" s="78"/>
      <c r="N96" s="15"/>
      <c r="O96" s="78"/>
      <c r="P96" s="9"/>
      <c r="Q96" s="9"/>
      <c r="R96" s="9"/>
      <c r="S96" s="9"/>
    </row>
    <row r="97" s="4" customFormat="1" ht="10.5" customHeight="1">
      <c r="A97" s="15" t="s">
        <v>143</v>
      </c>
    </row>
    <row r="98" spans="1:3" s="3" customFormat="1" ht="17.25" customHeight="1">
      <c r="A98" s="13" t="s">
        <v>124</v>
      </c>
      <c r="B98" s="13"/>
      <c r="C98" s="4"/>
    </row>
    <row r="99" s="4" customFormat="1" ht="8.25" customHeight="1"/>
    <row r="100" ht="3" customHeight="1"/>
  </sheetData>
  <sheetProtection/>
  <mergeCells count="83">
    <mergeCell ref="B3:S3"/>
    <mergeCell ref="B4:S4"/>
    <mergeCell ref="A17:B18"/>
    <mergeCell ref="C17:C18"/>
    <mergeCell ref="D17:D18"/>
    <mergeCell ref="E17:E18"/>
    <mergeCell ref="F17:F18"/>
    <mergeCell ref="G17:K17"/>
    <mergeCell ref="L17:L18"/>
    <mergeCell ref="M17:M18"/>
    <mergeCell ref="N17:R17"/>
    <mergeCell ref="S17:S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B68:H68"/>
    <mergeCell ref="A75:K75"/>
    <mergeCell ref="A76:B77"/>
    <mergeCell ref="C76:C77"/>
    <mergeCell ref="D76:D77"/>
    <mergeCell ref="E76:E77"/>
    <mergeCell ref="F76:F77"/>
    <mergeCell ref="G76:K76"/>
    <mergeCell ref="L76:L77"/>
    <mergeCell ref="M76:M77"/>
    <mergeCell ref="N76:R76"/>
    <mergeCell ref="S76:S77"/>
    <mergeCell ref="A78:B78"/>
    <mergeCell ref="A79:B79"/>
    <mergeCell ref="C91:K92"/>
    <mergeCell ref="L94:M94"/>
    <mergeCell ref="L95:M95"/>
    <mergeCell ref="A80:B80"/>
    <mergeCell ref="A81:B81"/>
    <mergeCell ref="A82:B82"/>
    <mergeCell ref="A83:B83"/>
    <mergeCell ref="A84:B84"/>
    <mergeCell ref="A85:B85"/>
  </mergeCells>
  <printOptions/>
  <pageMargins left="0.31496062992125984" right="0" top="0.7874015748031497" bottom="0.3937007874015748" header="0.15748031496062992" footer="0.15748031496062992"/>
  <pageSetup fitToHeight="0" fitToWidth="1" horizontalDpi="600" verticalDpi="6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98"/>
  <sheetViews>
    <sheetView zoomScale="130" zoomScaleNormal="130" zoomScalePageLayoutView="0" workbookViewId="0" topLeftCell="I34">
      <selection activeCell="R41" sqref="R41"/>
    </sheetView>
  </sheetViews>
  <sheetFormatPr defaultColWidth="0.875" defaultRowHeight="12.75"/>
  <cols>
    <col min="1" max="1" width="7.875" style="9" customWidth="1"/>
    <col min="2" max="2" width="39.25390625" style="9" customWidth="1"/>
    <col min="3" max="3" width="8.00390625" style="4" customWidth="1"/>
    <col min="4" max="4" width="7.25390625" style="9" customWidth="1"/>
    <col min="5" max="5" width="10.875" style="9" customWidth="1"/>
    <col min="6" max="6" width="9.75390625" style="9" customWidth="1"/>
    <col min="7" max="8" width="8.125" style="9" customWidth="1"/>
    <col min="9" max="10" width="11.00390625" style="9" customWidth="1"/>
    <col min="11" max="12" width="8.75390625" style="9" customWidth="1"/>
    <col min="13" max="13" width="10.00390625" style="9" customWidth="1"/>
    <col min="14" max="19" width="8.75390625" style="9" customWidth="1"/>
    <col min="20" max="16384" width="0.875" style="9" customWidth="1"/>
  </cols>
  <sheetData>
    <row r="1" spans="1:19" s="1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2" customFormat="1" ht="3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3" customFormat="1" ht="40.5" customHeight="1">
      <c r="A3" s="12"/>
      <c r="B3" s="114" t="s">
        <v>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s="3" customFormat="1" ht="15.75" customHeight="1">
      <c r="A4" s="12"/>
      <c r="B4" s="115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19" s="2" customFormat="1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4" customFormat="1" ht="12.75">
      <c r="A6" s="9"/>
      <c r="B6" s="9" t="s">
        <v>2</v>
      </c>
      <c r="C6" s="9" t="s">
        <v>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4" customFormat="1" ht="12.75">
      <c r="A7" s="9"/>
      <c r="B7" s="9"/>
      <c r="C7" s="9" t="s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4" customFormat="1" ht="12.75">
      <c r="A8" s="9"/>
      <c r="B8" s="9" t="s">
        <v>4</v>
      </c>
      <c r="C8" s="9" t="s">
        <v>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4" customFormat="1" ht="12.75">
      <c r="A9" s="9"/>
      <c r="B9" s="9" t="s">
        <v>6</v>
      </c>
      <c r="C9" s="9" t="s">
        <v>7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3" customFormat="1" ht="4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4" customFormat="1" ht="12.75">
      <c r="A11" s="9"/>
      <c r="B11" s="21" t="s">
        <v>134</v>
      </c>
      <c r="C11" s="15"/>
      <c r="D11" s="15"/>
      <c r="E11" s="15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4" customFormat="1" ht="12.75">
      <c r="A12" s="9"/>
      <c r="B12" s="21" t="s">
        <v>129</v>
      </c>
      <c r="C12" s="15"/>
      <c r="D12" s="15"/>
      <c r="E12" s="1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4" customFormat="1" ht="12.75">
      <c r="A13" s="9"/>
      <c r="B13" s="21" t="s">
        <v>130</v>
      </c>
      <c r="C13" s="15"/>
      <c r="D13" s="15"/>
      <c r="E13" s="1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4" customFormat="1" ht="12.75">
      <c r="A14" s="9"/>
      <c r="B14" s="21" t="s">
        <v>131</v>
      </c>
      <c r="C14" s="15"/>
      <c r="D14" s="15"/>
      <c r="E14" s="15"/>
      <c r="F14" s="9"/>
      <c r="G14" s="22"/>
      <c r="H14" s="22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4" customFormat="1" ht="12.75">
      <c r="A15" s="9"/>
      <c r="B15" s="21" t="s">
        <v>145</v>
      </c>
      <c r="C15" s="23"/>
      <c r="D15" s="23"/>
      <c r="E15" s="23"/>
      <c r="F15" s="24"/>
      <c r="G15" s="25"/>
      <c r="H15" s="22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4" customFormat="1" ht="12.75">
      <c r="A16" s="9"/>
      <c r="B16" s="9"/>
      <c r="C16" s="9"/>
      <c r="D16" s="9"/>
      <c r="E16" s="22"/>
      <c r="F16" s="9"/>
      <c r="G16" s="22"/>
      <c r="H16" s="2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5" customFormat="1" ht="9" customHeight="1">
      <c r="A17" s="97" t="s">
        <v>8</v>
      </c>
      <c r="B17" s="97"/>
      <c r="C17" s="97" t="s">
        <v>9</v>
      </c>
      <c r="D17" s="97" t="s">
        <v>10</v>
      </c>
      <c r="E17" s="116" t="s">
        <v>146</v>
      </c>
      <c r="F17" s="116" t="s">
        <v>11</v>
      </c>
      <c r="G17" s="116" t="s">
        <v>12</v>
      </c>
      <c r="H17" s="116"/>
      <c r="I17" s="116"/>
      <c r="J17" s="116"/>
      <c r="K17" s="116"/>
      <c r="L17" s="112" t="s">
        <v>13</v>
      </c>
      <c r="M17" s="112" t="s">
        <v>14</v>
      </c>
      <c r="N17" s="112" t="s">
        <v>15</v>
      </c>
      <c r="O17" s="112"/>
      <c r="P17" s="112"/>
      <c r="Q17" s="112"/>
      <c r="R17" s="112"/>
      <c r="S17" s="112" t="s">
        <v>16</v>
      </c>
    </row>
    <row r="18" spans="1:19" s="5" customFormat="1" ht="96.75" customHeight="1">
      <c r="A18" s="97"/>
      <c r="B18" s="97"/>
      <c r="C18" s="97"/>
      <c r="D18" s="97"/>
      <c r="E18" s="116"/>
      <c r="F18" s="116"/>
      <c r="G18" s="72" t="s">
        <v>17</v>
      </c>
      <c r="H18" s="71" t="s">
        <v>18</v>
      </c>
      <c r="I18" s="73" t="s">
        <v>19</v>
      </c>
      <c r="J18" s="71" t="s">
        <v>20</v>
      </c>
      <c r="K18" s="71" t="s">
        <v>21</v>
      </c>
      <c r="L18" s="112"/>
      <c r="M18" s="112"/>
      <c r="N18" s="76" t="s">
        <v>147</v>
      </c>
      <c r="O18" s="70" t="s">
        <v>22</v>
      </c>
      <c r="P18" s="70" t="s">
        <v>23</v>
      </c>
      <c r="Q18" s="47" t="s">
        <v>20</v>
      </c>
      <c r="R18" s="70" t="s">
        <v>24</v>
      </c>
      <c r="S18" s="112"/>
    </row>
    <row r="19" spans="1:19" s="6" customFormat="1" ht="11.25" customHeight="1">
      <c r="A19" s="113">
        <v>1</v>
      </c>
      <c r="B19" s="113"/>
      <c r="C19" s="50">
        <v>2</v>
      </c>
      <c r="D19" s="50">
        <v>3</v>
      </c>
      <c r="E19" s="51">
        <v>4</v>
      </c>
      <c r="F19" s="51">
        <v>5</v>
      </c>
      <c r="G19" s="51">
        <v>6</v>
      </c>
      <c r="H19" s="51">
        <v>7</v>
      </c>
      <c r="I19" s="52">
        <v>8</v>
      </c>
      <c r="J19" s="52">
        <v>9</v>
      </c>
      <c r="K19" s="51">
        <v>10</v>
      </c>
      <c r="L19" s="53">
        <v>11</v>
      </c>
      <c r="M19" s="53">
        <v>12</v>
      </c>
      <c r="N19" s="53">
        <v>13</v>
      </c>
      <c r="O19" s="53">
        <v>14</v>
      </c>
      <c r="P19" s="54">
        <v>15</v>
      </c>
      <c r="Q19" s="54">
        <v>16</v>
      </c>
      <c r="R19" s="53">
        <v>17</v>
      </c>
      <c r="S19" s="53">
        <v>18</v>
      </c>
    </row>
    <row r="20" spans="1:19" s="7" customFormat="1" ht="37.5" customHeight="1">
      <c r="A20" s="96" t="s">
        <v>25</v>
      </c>
      <c r="B20" s="96"/>
      <c r="C20" s="26" t="s">
        <v>26</v>
      </c>
      <c r="D20" s="27" t="s">
        <v>27</v>
      </c>
      <c r="E20" s="28">
        <f aca="true" t="shared" si="0" ref="E20:R20">E21+E29+E34+E42+E43+E44+E45+E47+E48+E49-E45</f>
        <v>87459</v>
      </c>
      <c r="F20" s="28">
        <f t="shared" si="0"/>
        <v>87459</v>
      </c>
      <c r="G20" s="28">
        <f t="shared" si="0"/>
        <v>82860</v>
      </c>
      <c r="H20" s="28">
        <f t="shared" si="0"/>
        <v>195</v>
      </c>
      <c r="I20" s="28">
        <f t="shared" si="0"/>
        <v>83055</v>
      </c>
      <c r="J20" s="28">
        <f t="shared" si="0"/>
        <v>0</v>
      </c>
      <c r="K20" s="28">
        <f t="shared" si="0"/>
        <v>4404</v>
      </c>
      <c r="L20" s="30">
        <f t="shared" si="0"/>
        <v>78900</v>
      </c>
      <c r="M20" s="66">
        <f t="shared" si="0"/>
        <v>78900</v>
      </c>
      <c r="N20" s="66">
        <f t="shared" si="0"/>
        <v>72258</v>
      </c>
      <c r="O20" s="66">
        <f t="shared" si="0"/>
        <v>254</v>
      </c>
      <c r="P20" s="30">
        <f t="shared" si="0"/>
        <v>72512</v>
      </c>
      <c r="Q20" s="66">
        <f t="shared" si="0"/>
        <v>0</v>
      </c>
      <c r="R20" s="66">
        <f t="shared" si="0"/>
        <v>6388</v>
      </c>
      <c r="S20" s="31"/>
    </row>
    <row r="21" spans="1:19" s="7" customFormat="1" ht="12.75">
      <c r="A21" s="96" t="s">
        <v>28</v>
      </c>
      <c r="B21" s="96"/>
      <c r="C21" s="26" t="s">
        <v>26</v>
      </c>
      <c r="D21" s="27" t="s">
        <v>29</v>
      </c>
      <c r="E21" s="28">
        <f>E22+E23+E28</f>
        <v>14017</v>
      </c>
      <c r="F21" s="29">
        <f>E21</f>
        <v>14017</v>
      </c>
      <c r="G21" s="29">
        <f>G22+G23+G28</f>
        <v>13651</v>
      </c>
      <c r="H21" s="29">
        <f>H22+H23+H28</f>
        <v>1</v>
      </c>
      <c r="I21" s="28">
        <f>G21+H21</f>
        <v>13652</v>
      </c>
      <c r="J21" s="29">
        <f>J22+J23+J28</f>
        <v>0</v>
      </c>
      <c r="K21" s="29">
        <f>K22+K23+K28</f>
        <v>365</v>
      </c>
      <c r="L21" s="30">
        <f>L22+L23+L28</f>
        <v>8830</v>
      </c>
      <c r="M21" s="31">
        <f>L21</f>
        <v>8830</v>
      </c>
      <c r="N21" s="31">
        <f>N22+N23+N28</f>
        <v>7186</v>
      </c>
      <c r="O21" s="31">
        <f>O22+O23+O28</f>
        <v>35</v>
      </c>
      <c r="P21" s="30">
        <f>N21+O21</f>
        <v>7221</v>
      </c>
      <c r="Q21" s="31">
        <f>Q22+Q23+Q28</f>
        <v>0</v>
      </c>
      <c r="R21" s="31">
        <f>R22+R23+R28</f>
        <v>1609</v>
      </c>
      <c r="S21" s="31"/>
    </row>
    <row r="22" spans="1:19" s="7" customFormat="1" ht="12.75">
      <c r="A22" s="96" t="s">
        <v>30</v>
      </c>
      <c r="B22" s="96"/>
      <c r="C22" s="26" t="s">
        <v>26</v>
      </c>
      <c r="D22" s="27" t="s">
        <v>31</v>
      </c>
      <c r="E22" s="28">
        <f>I22+K22</f>
        <v>2540</v>
      </c>
      <c r="F22" s="29">
        <f aca="true" t="shared" si="1" ref="F22:F66">E22</f>
        <v>2540</v>
      </c>
      <c r="G22" s="29">
        <v>2174</v>
      </c>
      <c r="H22" s="29">
        <v>1</v>
      </c>
      <c r="I22" s="28">
        <f>G22+H22</f>
        <v>2175</v>
      </c>
      <c r="J22" s="29"/>
      <c r="K22" s="29">
        <f>110+74+181</f>
        <v>365</v>
      </c>
      <c r="L22" s="30">
        <f>P22+R22</f>
        <v>3878</v>
      </c>
      <c r="M22" s="31">
        <f aca="true" t="shared" si="2" ref="M22:M66">L22</f>
        <v>3878</v>
      </c>
      <c r="N22" s="31">
        <v>2234</v>
      </c>
      <c r="O22" s="31">
        <f>35</f>
        <v>35</v>
      </c>
      <c r="P22" s="30">
        <f>N22+O22</f>
        <v>2269</v>
      </c>
      <c r="Q22" s="31"/>
      <c r="R22" s="31">
        <f>115+1356+89+49</f>
        <v>1609</v>
      </c>
      <c r="S22" s="31"/>
    </row>
    <row r="23" spans="1:19" s="7" customFormat="1" ht="47.25" customHeight="1">
      <c r="A23" s="96" t="s">
        <v>32</v>
      </c>
      <c r="B23" s="96"/>
      <c r="C23" s="26" t="s">
        <v>26</v>
      </c>
      <c r="D23" s="27" t="s">
        <v>33</v>
      </c>
      <c r="E23" s="28">
        <f aca="true" t="shared" si="3" ref="E23:E43">I23+K23</f>
        <v>10710</v>
      </c>
      <c r="F23" s="29">
        <f t="shared" si="1"/>
        <v>10710</v>
      </c>
      <c r="G23" s="29">
        <v>10710</v>
      </c>
      <c r="H23" s="29"/>
      <c r="I23" s="28">
        <f>G23+H23</f>
        <v>10710</v>
      </c>
      <c r="J23" s="29"/>
      <c r="K23" s="29"/>
      <c r="L23" s="30">
        <f aca="true" t="shared" si="4" ref="L23:L44">P23+R23</f>
        <v>4331</v>
      </c>
      <c r="M23" s="31">
        <f t="shared" si="2"/>
        <v>4331</v>
      </c>
      <c r="N23" s="31">
        <v>4331</v>
      </c>
      <c r="O23" s="31"/>
      <c r="P23" s="30">
        <f>N23+O23</f>
        <v>4331</v>
      </c>
      <c r="Q23" s="31"/>
      <c r="R23" s="31"/>
      <c r="S23" s="31"/>
    </row>
    <row r="24" spans="1:19" s="7" customFormat="1" ht="12.75">
      <c r="A24" s="96" t="s">
        <v>34</v>
      </c>
      <c r="B24" s="96"/>
      <c r="C24" s="26" t="s">
        <v>26</v>
      </c>
      <c r="D24" s="27"/>
      <c r="E24" s="28">
        <f t="shared" si="3"/>
        <v>0</v>
      </c>
      <c r="F24" s="29">
        <f t="shared" si="1"/>
        <v>0</v>
      </c>
      <c r="G24" s="29"/>
      <c r="H24" s="29"/>
      <c r="I24" s="28"/>
      <c r="J24" s="29"/>
      <c r="K24" s="29"/>
      <c r="L24" s="30">
        <f t="shared" si="4"/>
        <v>0</v>
      </c>
      <c r="M24" s="31">
        <f t="shared" si="2"/>
        <v>0</v>
      </c>
      <c r="N24" s="31"/>
      <c r="O24" s="31"/>
      <c r="P24" s="30"/>
      <c r="Q24" s="31"/>
      <c r="R24" s="31"/>
      <c r="S24" s="31"/>
    </row>
    <row r="25" spans="1:19" s="7" customFormat="1" ht="12.75">
      <c r="A25" s="96" t="s">
        <v>35</v>
      </c>
      <c r="B25" s="96"/>
      <c r="C25" s="26" t="s">
        <v>26</v>
      </c>
      <c r="D25" s="27"/>
      <c r="E25" s="28">
        <f t="shared" si="3"/>
        <v>0</v>
      </c>
      <c r="F25" s="29">
        <f t="shared" si="1"/>
        <v>0</v>
      </c>
      <c r="G25" s="29"/>
      <c r="H25" s="29"/>
      <c r="I25" s="28"/>
      <c r="J25" s="29"/>
      <c r="K25" s="29"/>
      <c r="L25" s="30">
        <f t="shared" si="4"/>
        <v>0</v>
      </c>
      <c r="M25" s="31">
        <f t="shared" si="2"/>
        <v>0</v>
      </c>
      <c r="N25" s="31"/>
      <c r="O25" s="31"/>
      <c r="P25" s="30"/>
      <c r="Q25" s="31"/>
      <c r="R25" s="31"/>
      <c r="S25" s="31"/>
    </row>
    <row r="26" spans="1:19" s="7" customFormat="1" ht="12.75">
      <c r="A26" s="96" t="s">
        <v>36</v>
      </c>
      <c r="B26" s="96"/>
      <c r="C26" s="26" t="s">
        <v>26</v>
      </c>
      <c r="D26" s="27"/>
      <c r="E26" s="28">
        <f t="shared" si="3"/>
        <v>0</v>
      </c>
      <c r="F26" s="29">
        <f t="shared" si="1"/>
        <v>0</v>
      </c>
      <c r="G26" s="29"/>
      <c r="H26" s="29"/>
      <c r="I26" s="28"/>
      <c r="J26" s="29"/>
      <c r="K26" s="29"/>
      <c r="L26" s="30">
        <f t="shared" si="4"/>
        <v>0</v>
      </c>
      <c r="M26" s="31">
        <f t="shared" si="2"/>
        <v>0</v>
      </c>
      <c r="N26" s="31"/>
      <c r="O26" s="31"/>
      <c r="P26" s="30"/>
      <c r="Q26" s="31"/>
      <c r="R26" s="31"/>
      <c r="S26" s="31"/>
    </row>
    <row r="27" spans="1:19" s="7" customFormat="1" ht="12.75">
      <c r="A27" s="96" t="s">
        <v>37</v>
      </c>
      <c r="B27" s="96"/>
      <c r="C27" s="26" t="s">
        <v>26</v>
      </c>
      <c r="D27" s="27"/>
      <c r="E27" s="28">
        <f t="shared" si="3"/>
        <v>0</v>
      </c>
      <c r="F27" s="29">
        <f t="shared" si="1"/>
        <v>0</v>
      </c>
      <c r="G27" s="29"/>
      <c r="H27" s="29"/>
      <c r="I27" s="28"/>
      <c r="J27" s="29"/>
      <c r="K27" s="29"/>
      <c r="L27" s="30">
        <f t="shared" si="4"/>
        <v>0</v>
      </c>
      <c r="M27" s="31">
        <f t="shared" si="2"/>
        <v>0</v>
      </c>
      <c r="N27" s="31"/>
      <c r="O27" s="31"/>
      <c r="P27" s="30"/>
      <c r="Q27" s="31"/>
      <c r="R27" s="31"/>
      <c r="S27" s="31"/>
    </row>
    <row r="28" spans="1:19" s="7" customFormat="1" ht="26.25" customHeight="1">
      <c r="A28" s="96" t="s">
        <v>38</v>
      </c>
      <c r="B28" s="96"/>
      <c r="C28" s="26" t="s">
        <v>26</v>
      </c>
      <c r="D28" s="27" t="s">
        <v>39</v>
      </c>
      <c r="E28" s="28">
        <f t="shared" si="3"/>
        <v>767</v>
      </c>
      <c r="F28" s="29">
        <f t="shared" si="1"/>
        <v>767</v>
      </c>
      <c r="G28" s="29">
        <v>767</v>
      </c>
      <c r="H28" s="29"/>
      <c r="I28" s="28">
        <f>G28+H28</f>
        <v>767</v>
      </c>
      <c r="J28" s="29"/>
      <c r="K28" s="29"/>
      <c r="L28" s="30">
        <f t="shared" si="4"/>
        <v>621</v>
      </c>
      <c r="M28" s="31">
        <f t="shared" si="2"/>
        <v>621</v>
      </c>
      <c r="N28" s="31">
        <v>621</v>
      </c>
      <c r="O28" s="31"/>
      <c r="P28" s="30">
        <f>N28+O28</f>
        <v>621</v>
      </c>
      <c r="Q28" s="31"/>
      <c r="R28" s="31"/>
      <c r="S28" s="31"/>
    </row>
    <row r="29" spans="1:19" s="7" customFormat="1" ht="33" customHeight="1">
      <c r="A29" s="96" t="s">
        <v>40</v>
      </c>
      <c r="B29" s="96"/>
      <c r="C29" s="26" t="s">
        <v>26</v>
      </c>
      <c r="D29" s="27" t="s">
        <v>41</v>
      </c>
      <c r="E29" s="28">
        <f t="shared" si="3"/>
        <v>101</v>
      </c>
      <c r="F29" s="29">
        <f t="shared" si="1"/>
        <v>101</v>
      </c>
      <c r="G29" s="29">
        <f>G30+G31+G32+G32+G33</f>
        <v>101</v>
      </c>
      <c r="H29" s="29">
        <f>H30+H31+H32+H33</f>
        <v>0</v>
      </c>
      <c r="I29" s="28">
        <f>G29+H29</f>
        <v>101</v>
      </c>
      <c r="J29" s="29">
        <f>J30+J31+J32+J33</f>
        <v>0</v>
      </c>
      <c r="K29" s="29">
        <f>K30+K31+K32+K33</f>
        <v>0</v>
      </c>
      <c r="L29" s="30">
        <f t="shared" si="4"/>
        <v>176</v>
      </c>
      <c r="M29" s="31">
        <f t="shared" si="2"/>
        <v>176</v>
      </c>
      <c r="N29" s="31">
        <f>N30+N31+N32+N33</f>
        <v>176</v>
      </c>
      <c r="O29" s="31">
        <f>O30+O31+O32+O33</f>
        <v>0</v>
      </c>
      <c r="P29" s="30">
        <f>N29+O29</f>
        <v>176</v>
      </c>
      <c r="Q29" s="31">
        <f>Q30+Q31+Q32+Q33</f>
        <v>0</v>
      </c>
      <c r="R29" s="31">
        <f>R30+R31+R32+R33</f>
        <v>0</v>
      </c>
      <c r="S29" s="31"/>
    </row>
    <row r="30" spans="1:19" s="7" customFormat="1" ht="12.75">
      <c r="A30" s="96" t="s">
        <v>42</v>
      </c>
      <c r="B30" s="96"/>
      <c r="C30" s="26" t="s">
        <v>26</v>
      </c>
      <c r="D30" s="27" t="s">
        <v>43</v>
      </c>
      <c r="E30" s="28">
        <f t="shared" si="3"/>
        <v>101</v>
      </c>
      <c r="F30" s="29">
        <f t="shared" si="1"/>
        <v>101</v>
      </c>
      <c r="G30" s="29">
        <v>101</v>
      </c>
      <c r="H30" s="29"/>
      <c r="I30" s="28">
        <f>G30+H30</f>
        <v>101</v>
      </c>
      <c r="J30" s="29"/>
      <c r="K30" s="29"/>
      <c r="L30" s="30">
        <f t="shared" si="4"/>
        <v>81</v>
      </c>
      <c r="M30" s="31">
        <f t="shared" si="2"/>
        <v>81</v>
      </c>
      <c r="N30" s="31">
        <v>81</v>
      </c>
      <c r="O30" s="31"/>
      <c r="P30" s="30">
        <f>N30+O30</f>
        <v>81</v>
      </c>
      <c r="Q30" s="31"/>
      <c r="R30" s="31"/>
      <c r="S30" s="31"/>
    </row>
    <row r="31" spans="1:19" s="7" customFormat="1" ht="12.75">
      <c r="A31" s="96" t="s">
        <v>44</v>
      </c>
      <c r="B31" s="96"/>
      <c r="C31" s="26" t="s">
        <v>26</v>
      </c>
      <c r="D31" s="27" t="s">
        <v>45</v>
      </c>
      <c r="E31" s="28">
        <f t="shared" si="3"/>
        <v>0</v>
      </c>
      <c r="F31" s="29">
        <f t="shared" si="1"/>
        <v>0</v>
      </c>
      <c r="G31" s="29"/>
      <c r="H31" s="29"/>
      <c r="I31" s="28"/>
      <c r="J31" s="29"/>
      <c r="K31" s="29"/>
      <c r="L31" s="30">
        <f t="shared" si="4"/>
        <v>0</v>
      </c>
      <c r="M31" s="31">
        <f t="shared" si="2"/>
        <v>0</v>
      </c>
      <c r="N31" s="31"/>
      <c r="O31" s="31"/>
      <c r="P31" s="30"/>
      <c r="Q31" s="31"/>
      <c r="R31" s="31"/>
      <c r="S31" s="31"/>
    </row>
    <row r="32" spans="1:19" s="7" customFormat="1" ht="24.75" customHeight="1">
      <c r="A32" s="96" t="s">
        <v>46</v>
      </c>
      <c r="B32" s="96"/>
      <c r="C32" s="26" t="s">
        <v>26</v>
      </c>
      <c r="D32" s="27" t="s">
        <v>47</v>
      </c>
      <c r="E32" s="28">
        <f t="shared" si="3"/>
        <v>0</v>
      </c>
      <c r="F32" s="29">
        <f t="shared" si="1"/>
        <v>0</v>
      </c>
      <c r="G32" s="29"/>
      <c r="H32" s="32"/>
      <c r="I32" s="28"/>
      <c r="J32" s="29"/>
      <c r="K32" s="29"/>
      <c r="L32" s="30">
        <f t="shared" si="4"/>
        <v>0</v>
      </c>
      <c r="M32" s="31">
        <f t="shared" si="2"/>
        <v>0</v>
      </c>
      <c r="N32" s="31"/>
      <c r="O32" s="33"/>
      <c r="P32" s="30"/>
      <c r="Q32" s="31"/>
      <c r="R32" s="31"/>
      <c r="S32" s="31"/>
    </row>
    <row r="33" spans="1:19" s="7" customFormat="1" ht="30" customHeight="1">
      <c r="A33" s="96" t="s">
        <v>48</v>
      </c>
      <c r="B33" s="96"/>
      <c r="C33" s="26" t="s">
        <v>26</v>
      </c>
      <c r="D33" s="27" t="s">
        <v>49</v>
      </c>
      <c r="E33" s="28">
        <f t="shared" si="3"/>
        <v>0</v>
      </c>
      <c r="F33" s="29">
        <f t="shared" si="1"/>
        <v>0</v>
      </c>
      <c r="G33" s="29"/>
      <c r="H33" s="29"/>
      <c r="I33" s="28">
        <f>G33+H33</f>
        <v>0</v>
      </c>
      <c r="J33" s="29"/>
      <c r="K33" s="29"/>
      <c r="L33" s="30">
        <f t="shared" si="4"/>
        <v>95</v>
      </c>
      <c r="M33" s="31">
        <f t="shared" si="2"/>
        <v>95</v>
      </c>
      <c r="N33" s="31">
        <f>60+35</f>
        <v>95</v>
      </c>
      <c r="O33" s="31"/>
      <c r="P33" s="30">
        <f>N33+O33</f>
        <v>95</v>
      </c>
      <c r="Q33" s="31"/>
      <c r="R33" s="31"/>
      <c r="S33" s="31"/>
    </row>
    <row r="34" spans="1:19" s="7" customFormat="1" ht="12.75">
      <c r="A34" s="96" t="s">
        <v>50</v>
      </c>
      <c r="B34" s="96"/>
      <c r="C34" s="26" t="s">
        <v>26</v>
      </c>
      <c r="D34" s="27" t="s">
        <v>51</v>
      </c>
      <c r="E34" s="28">
        <f t="shared" si="3"/>
        <v>40080</v>
      </c>
      <c r="F34" s="29">
        <f t="shared" si="1"/>
        <v>40080</v>
      </c>
      <c r="G34" s="62">
        <f>G35+G36+G37</f>
        <v>36924</v>
      </c>
      <c r="H34" s="62">
        <f>H35+H36+H37</f>
        <v>129</v>
      </c>
      <c r="I34" s="63">
        <f>G34+H34</f>
        <v>37053</v>
      </c>
      <c r="J34" s="63"/>
      <c r="K34" s="62">
        <f>K35+K36+K37</f>
        <v>3027</v>
      </c>
      <c r="L34" s="30">
        <f t="shared" si="4"/>
        <v>38263</v>
      </c>
      <c r="M34" s="31">
        <f t="shared" si="2"/>
        <v>38263</v>
      </c>
      <c r="N34" s="31">
        <f>N35+N36+N37</f>
        <v>34661</v>
      </c>
      <c r="O34" s="31">
        <f>O35+O36+O37</f>
        <v>138</v>
      </c>
      <c r="P34" s="30">
        <f>N34+O34</f>
        <v>34799</v>
      </c>
      <c r="Q34" s="31"/>
      <c r="R34" s="31">
        <f>R35+R36+R37</f>
        <v>3464</v>
      </c>
      <c r="S34" s="31"/>
    </row>
    <row r="35" spans="1:19" s="7" customFormat="1" ht="12.75">
      <c r="A35" s="96" t="s">
        <v>52</v>
      </c>
      <c r="B35" s="96"/>
      <c r="C35" s="26" t="s">
        <v>26</v>
      </c>
      <c r="D35" s="27"/>
      <c r="E35" s="28">
        <f t="shared" si="3"/>
        <v>7816</v>
      </c>
      <c r="F35" s="29">
        <f t="shared" si="1"/>
        <v>7816</v>
      </c>
      <c r="G35" s="29">
        <v>7774</v>
      </c>
      <c r="H35" s="29">
        <v>42</v>
      </c>
      <c r="I35" s="28">
        <f>G35+H35</f>
        <v>7816</v>
      </c>
      <c r="J35" s="29"/>
      <c r="K35" s="29"/>
      <c r="L35" s="30">
        <f t="shared" si="4"/>
        <v>7703</v>
      </c>
      <c r="M35" s="31">
        <f t="shared" si="2"/>
        <v>7703</v>
      </c>
      <c r="N35" s="31">
        <v>7667</v>
      </c>
      <c r="O35" s="31">
        <v>36</v>
      </c>
      <c r="P35" s="30">
        <f>N35+O35</f>
        <v>7703</v>
      </c>
      <c r="Q35" s="31"/>
      <c r="R35" s="31"/>
      <c r="S35" s="31"/>
    </row>
    <row r="36" spans="1:19" s="7" customFormat="1" ht="15" customHeight="1">
      <c r="A36" s="96" t="s">
        <v>135</v>
      </c>
      <c r="B36" s="96"/>
      <c r="C36" s="26" t="s">
        <v>26</v>
      </c>
      <c r="D36" s="27"/>
      <c r="E36" s="28">
        <f t="shared" si="3"/>
        <v>6980</v>
      </c>
      <c r="F36" s="29">
        <f t="shared" si="1"/>
        <v>6980</v>
      </c>
      <c r="G36" s="29">
        <v>6620</v>
      </c>
      <c r="H36" s="29">
        <v>41</v>
      </c>
      <c r="I36" s="28">
        <f>G36+H36</f>
        <v>6661</v>
      </c>
      <c r="J36" s="29"/>
      <c r="K36" s="29">
        <f>319</f>
        <v>319</v>
      </c>
      <c r="L36" s="30">
        <f t="shared" si="4"/>
        <v>6920</v>
      </c>
      <c r="M36" s="31">
        <f t="shared" si="2"/>
        <v>6920</v>
      </c>
      <c r="N36" s="31">
        <v>6611</v>
      </c>
      <c r="O36" s="31">
        <v>18</v>
      </c>
      <c r="P36" s="30">
        <f>N36+O36</f>
        <v>6629</v>
      </c>
      <c r="Q36" s="31"/>
      <c r="R36" s="31">
        <f>291</f>
        <v>291</v>
      </c>
      <c r="S36" s="31"/>
    </row>
    <row r="37" spans="1:19" s="7" customFormat="1" ht="12.75">
      <c r="A37" s="96" t="s">
        <v>53</v>
      </c>
      <c r="B37" s="96"/>
      <c r="C37" s="26" t="s">
        <v>26</v>
      </c>
      <c r="D37" s="27"/>
      <c r="E37" s="28">
        <f t="shared" si="3"/>
        <v>25284</v>
      </c>
      <c r="F37" s="29">
        <f t="shared" si="1"/>
        <v>25284</v>
      </c>
      <c r="G37" s="29">
        <v>22530</v>
      </c>
      <c r="H37" s="29">
        <v>46</v>
      </c>
      <c r="I37" s="28">
        <f>G37+H37</f>
        <v>22576</v>
      </c>
      <c r="J37" s="29"/>
      <c r="K37" s="29">
        <f>1212+1496</f>
        <v>2708</v>
      </c>
      <c r="L37" s="30">
        <f t="shared" si="4"/>
        <v>23640</v>
      </c>
      <c r="M37" s="31">
        <f t="shared" si="2"/>
        <v>23640</v>
      </c>
      <c r="N37" s="31">
        <f>20383</f>
        <v>20383</v>
      </c>
      <c r="O37" s="31">
        <v>84</v>
      </c>
      <c r="P37" s="30">
        <f>N37+O37</f>
        <v>20467</v>
      </c>
      <c r="Q37" s="31"/>
      <c r="R37" s="31">
        <f>1830+74+1269</f>
        <v>3173</v>
      </c>
      <c r="S37" s="31"/>
    </row>
    <row r="38" spans="1:19" s="7" customFormat="1" ht="28.5" customHeight="1">
      <c r="A38" s="96" t="s">
        <v>54</v>
      </c>
      <c r="B38" s="96"/>
      <c r="C38" s="26" t="s">
        <v>55</v>
      </c>
      <c r="D38" s="27"/>
      <c r="E38" s="28">
        <f t="shared" si="3"/>
        <v>151</v>
      </c>
      <c r="F38" s="29">
        <f t="shared" si="1"/>
        <v>151</v>
      </c>
      <c r="G38" s="29">
        <f>G39+G40+G41</f>
        <v>139</v>
      </c>
      <c r="H38" s="29">
        <f>H39+H40+H41</f>
        <v>0</v>
      </c>
      <c r="I38" s="28">
        <f>I39+I40+I41</f>
        <v>139</v>
      </c>
      <c r="J38" s="29"/>
      <c r="K38" s="29">
        <f>K39+K40+K41</f>
        <v>12</v>
      </c>
      <c r="L38" s="30">
        <f t="shared" si="4"/>
        <v>151</v>
      </c>
      <c r="M38" s="31">
        <f t="shared" si="2"/>
        <v>151</v>
      </c>
      <c r="N38" s="31">
        <f>N39+N40+N41</f>
        <v>137</v>
      </c>
      <c r="O38" s="31">
        <f>O39+O40+O41</f>
        <v>0</v>
      </c>
      <c r="P38" s="30">
        <f>P39+P40+P41</f>
        <v>137</v>
      </c>
      <c r="Q38" s="31"/>
      <c r="R38" s="31">
        <f>R39+R40+R41</f>
        <v>14</v>
      </c>
      <c r="S38" s="74"/>
    </row>
    <row r="39" spans="1:19" s="7" customFormat="1" ht="12.75">
      <c r="A39" s="96" t="s">
        <v>52</v>
      </c>
      <c r="B39" s="96"/>
      <c r="C39" s="26" t="s">
        <v>55</v>
      </c>
      <c r="D39" s="27"/>
      <c r="E39" s="28">
        <f t="shared" si="3"/>
        <v>23</v>
      </c>
      <c r="F39" s="29">
        <f t="shared" si="1"/>
        <v>23</v>
      </c>
      <c r="G39" s="29">
        <v>23</v>
      </c>
      <c r="H39" s="29"/>
      <c r="I39" s="28">
        <f aca="true" t="shared" si="5" ref="I39:I45">G39+H39</f>
        <v>23</v>
      </c>
      <c r="J39" s="29"/>
      <c r="K39" s="29"/>
      <c r="L39" s="30">
        <f t="shared" si="4"/>
        <v>22</v>
      </c>
      <c r="M39" s="31">
        <f t="shared" si="2"/>
        <v>22</v>
      </c>
      <c r="N39" s="31">
        <f>12+10</f>
        <v>22</v>
      </c>
      <c r="O39" s="31"/>
      <c r="P39" s="30">
        <f>N39+O39</f>
        <v>22</v>
      </c>
      <c r="Q39" s="31"/>
      <c r="R39" s="31"/>
      <c r="S39" s="61"/>
    </row>
    <row r="40" spans="1:19" s="7" customFormat="1" ht="13.5" customHeight="1">
      <c r="A40" s="96" t="s">
        <v>135</v>
      </c>
      <c r="B40" s="96"/>
      <c r="C40" s="26" t="s">
        <v>55</v>
      </c>
      <c r="D40" s="27"/>
      <c r="E40" s="28">
        <f t="shared" si="3"/>
        <v>20</v>
      </c>
      <c r="F40" s="29">
        <f t="shared" si="1"/>
        <v>20</v>
      </c>
      <c r="G40" s="29">
        <v>19</v>
      </c>
      <c r="H40" s="29"/>
      <c r="I40" s="28">
        <f t="shared" si="5"/>
        <v>19</v>
      </c>
      <c r="J40" s="32"/>
      <c r="K40" s="29">
        <v>1</v>
      </c>
      <c r="L40" s="30">
        <f t="shared" si="4"/>
        <v>20</v>
      </c>
      <c r="M40" s="31">
        <f t="shared" si="2"/>
        <v>20</v>
      </c>
      <c r="N40" s="31">
        <f>7+12</f>
        <v>19</v>
      </c>
      <c r="O40" s="31"/>
      <c r="P40" s="30">
        <f>N40+O40</f>
        <v>19</v>
      </c>
      <c r="Q40" s="31"/>
      <c r="R40" s="31">
        <v>1</v>
      </c>
      <c r="S40" s="74"/>
    </row>
    <row r="41" spans="1:19" s="7" customFormat="1" ht="12.75">
      <c r="A41" s="96" t="s">
        <v>53</v>
      </c>
      <c r="B41" s="96"/>
      <c r="C41" s="26" t="s">
        <v>55</v>
      </c>
      <c r="D41" s="27"/>
      <c r="E41" s="28">
        <f t="shared" si="3"/>
        <v>108</v>
      </c>
      <c r="F41" s="29">
        <f t="shared" si="1"/>
        <v>108</v>
      </c>
      <c r="G41" s="29">
        <v>97</v>
      </c>
      <c r="H41" s="32"/>
      <c r="I41" s="28">
        <f t="shared" si="5"/>
        <v>97</v>
      </c>
      <c r="J41" s="32"/>
      <c r="K41" s="29">
        <v>11</v>
      </c>
      <c r="L41" s="30">
        <f t="shared" si="4"/>
        <v>109</v>
      </c>
      <c r="M41" s="31">
        <f t="shared" si="2"/>
        <v>109</v>
      </c>
      <c r="N41" s="31">
        <f>151-55</f>
        <v>96</v>
      </c>
      <c r="O41" s="31"/>
      <c r="P41" s="30">
        <f>N41+O41</f>
        <v>96</v>
      </c>
      <c r="Q41" s="31"/>
      <c r="R41" s="31">
        <f>6+7</f>
        <v>13</v>
      </c>
      <c r="S41" s="74"/>
    </row>
    <row r="42" spans="1:19" s="7" customFormat="1" ht="75" customHeight="1">
      <c r="A42" s="96" t="s">
        <v>56</v>
      </c>
      <c r="B42" s="96"/>
      <c r="C42" s="26" t="s">
        <v>26</v>
      </c>
      <c r="D42" s="27" t="s">
        <v>57</v>
      </c>
      <c r="E42" s="28">
        <f t="shared" si="3"/>
        <v>12119</v>
      </c>
      <c r="F42" s="29">
        <f t="shared" si="1"/>
        <v>12119</v>
      </c>
      <c r="G42" s="29">
        <v>11165</v>
      </c>
      <c r="H42" s="29">
        <f>39</f>
        <v>39</v>
      </c>
      <c r="I42" s="28">
        <f t="shared" si="5"/>
        <v>11204</v>
      </c>
      <c r="J42" s="29"/>
      <c r="K42" s="29">
        <f>367+548</f>
        <v>915</v>
      </c>
      <c r="L42" s="30">
        <f t="shared" si="4"/>
        <v>11694</v>
      </c>
      <c r="M42" s="31">
        <f t="shared" si="2"/>
        <v>11694</v>
      </c>
      <c r="N42" s="31">
        <v>10593</v>
      </c>
      <c r="O42" s="31">
        <f>42</f>
        <v>42</v>
      </c>
      <c r="P42" s="30">
        <f>N42+O42</f>
        <v>10635</v>
      </c>
      <c r="Q42" s="31"/>
      <c r="R42" s="31">
        <f>558+22+479</f>
        <v>1059</v>
      </c>
      <c r="S42" s="31"/>
    </row>
    <row r="43" spans="1:19" s="7" customFormat="1" ht="12.75">
      <c r="A43" s="96" t="s">
        <v>58</v>
      </c>
      <c r="B43" s="96"/>
      <c r="C43" s="26" t="s">
        <v>26</v>
      </c>
      <c r="D43" s="27" t="s">
        <v>59</v>
      </c>
      <c r="E43" s="28">
        <f t="shared" si="3"/>
        <v>303</v>
      </c>
      <c r="F43" s="29">
        <f t="shared" si="1"/>
        <v>303</v>
      </c>
      <c r="G43" s="29">
        <v>303</v>
      </c>
      <c r="H43" s="29"/>
      <c r="I43" s="28">
        <f t="shared" si="5"/>
        <v>303</v>
      </c>
      <c r="J43" s="29"/>
      <c r="K43" s="29"/>
      <c r="L43" s="30">
        <f t="shared" si="4"/>
        <v>166</v>
      </c>
      <c r="M43" s="31">
        <f t="shared" si="2"/>
        <v>166</v>
      </c>
      <c r="N43" s="31">
        <v>166</v>
      </c>
      <c r="O43" s="31"/>
      <c r="P43" s="30">
        <f>N43+O43</f>
        <v>166</v>
      </c>
      <c r="Q43" s="31"/>
      <c r="R43" s="31"/>
      <c r="S43" s="31"/>
    </row>
    <row r="44" spans="1:19" s="7" customFormat="1" ht="12.75">
      <c r="A44" s="96" t="s">
        <v>60</v>
      </c>
      <c r="B44" s="96"/>
      <c r="C44" s="26" t="s">
        <v>26</v>
      </c>
      <c r="D44" s="27" t="s">
        <v>61</v>
      </c>
      <c r="E44" s="28">
        <f>E45</f>
        <v>14837</v>
      </c>
      <c r="F44" s="29">
        <f t="shared" si="1"/>
        <v>14837</v>
      </c>
      <c r="G44" s="29">
        <f>G45</f>
        <v>14837</v>
      </c>
      <c r="H44" s="29"/>
      <c r="I44" s="28">
        <f t="shared" si="5"/>
        <v>14837</v>
      </c>
      <c r="J44" s="29"/>
      <c r="K44" s="29"/>
      <c r="L44" s="36">
        <f t="shared" si="4"/>
        <v>14686</v>
      </c>
      <c r="M44" s="37">
        <f>M45</f>
        <v>14686</v>
      </c>
      <c r="N44" s="37">
        <f>N45</f>
        <v>14686</v>
      </c>
      <c r="O44" s="37"/>
      <c r="P44" s="36">
        <f>P45</f>
        <v>14686</v>
      </c>
      <c r="Q44" s="37"/>
      <c r="R44" s="37"/>
      <c r="S44" s="37"/>
    </row>
    <row r="45" spans="1:19" s="7" customFormat="1" ht="12.75">
      <c r="A45" s="96" t="s">
        <v>62</v>
      </c>
      <c r="B45" s="96"/>
      <c r="C45" s="26" t="s">
        <v>26</v>
      </c>
      <c r="D45" s="27" t="s">
        <v>63</v>
      </c>
      <c r="E45" s="64">
        <f>I45+K45</f>
        <v>14837</v>
      </c>
      <c r="F45" s="64">
        <f t="shared" si="1"/>
        <v>14837</v>
      </c>
      <c r="G45" s="64">
        <f>14721+173-57</f>
        <v>14837</v>
      </c>
      <c r="H45" s="64"/>
      <c r="I45" s="64">
        <f t="shared" si="5"/>
        <v>14837</v>
      </c>
      <c r="J45" s="64"/>
      <c r="K45" s="64"/>
      <c r="L45" s="30">
        <f>P45+R45</f>
        <v>14686</v>
      </c>
      <c r="M45" s="31">
        <f t="shared" si="2"/>
        <v>14686</v>
      </c>
      <c r="N45" s="75">
        <f>14570+116</f>
        <v>14686</v>
      </c>
      <c r="O45" s="31"/>
      <c r="P45" s="30">
        <f>N45+O45</f>
        <v>14686</v>
      </c>
      <c r="Q45" s="31"/>
      <c r="R45" s="31"/>
      <c r="S45" s="31"/>
    </row>
    <row r="46" spans="1:19" s="7" customFormat="1" ht="12.75">
      <c r="A46" s="96" t="s">
        <v>64</v>
      </c>
      <c r="B46" s="96"/>
      <c r="C46" s="26" t="s">
        <v>26</v>
      </c>
      <c r="D46" s="27" t="s">
        <v>65</v>
      </c>
      <c r="E46" s="28"/>
      <c r="F46" s="29">
        <f t="shared" si="1"/>
        <v>0</v>
      </c>
      <c r="G46" s="29"/>
      <c r="H46" s="29"/>
      <c r="I46" s="28"/>
      <c r="J46" s="29"/>
      <c r="K46" s="29"/>
      <c r="L46" s="30"/>
      <c r="M46" s="31">
        <f t="shared" si="2"/>
        <v>0</v>
      </c>
      <c r="N46" s="31"/>
      <c r="O46" s="31"/>
      <c r="P46" s="30"/>
      <c r="Q46" s="31"/>
      <c r="R46" s="31"/>
      <c r="S46" s="31"/>
    </row>
    <row r="47" spans="1:19" s="7" customFormat="1" ht="27" customHeight="1">
      <c r="A47" s="96" t="s">
        <v>66</v>
      </c>
      <c r="B47" s="96"/>
      <c r="C47" s="26" t="s">
        <v>26</v>
      </c>
      <c r="D47" s="27" t="s">
        <v>67</v>
      </c>
      <c r="E47" s="28">
        <f>I47+K47</f>
        <v>40</v>
      </c>
      <c r="F47" s="29">
        <f t="shared" si="1"/>
        <v>40</v>
      </c>
      <c r="G47" s="29">
        <f>40</f>
        <v>40</v>
      </c>
      <c r="H47" s="29"/>
      <c r="I47" s="28">
        <f>G47+H47</f>
        <v>40</v>
      </c>
      <c r="J47" s="29"/>
      <c r="K47" s="29"/>
      <c r="L47" s="30">
        <f>P47+R47</f>
        <v>13</v>
      </c>
      <c r="M47" s="31">
        <f t="shared" si="2"/>
        <v>13</v>
      </c>
      <c r="N47" s="31">
        <f>13</f>
        <v>13</v>
      </c>
      <c r="O47" s="31"/>
      <c r="P47" s="30">
        <f>N47+O47</f>
        <v>13</v>
      </c>
      <c r="Q47" s="31"/>
      <c r="R47" s="31"/>
      <c r="S47" s="31"/>
    </row>
    <row r="48" spans="1:19" s="7" customFormat="1" ht="39.75" customHeight="1">
      <c r="A48" s="96" t="s">
        <v>68</v>
      </c>
      <c r="B48" s="96"/>
      <c r="C48" s="26" t="s">
        <v>26</v>
      </c>
      <c r="D48" s="27" t="s">
        <v>69</v>
      </c>
      <c r="E48" s="28"/>
      <c r="F48" s="29">
        <f t="shared" si="1"/>
        <v>0</v>
      </c>
      <c r="G48" s="29"/>
      <c r="H48" s="29"/>
      <c r="I48" s="28"/>
      <c r="J48" s="29"/>
      <c r="K48" s="29"/>
      <c r="L48" s="30"/>
      <c r="M48" s="31">
        <f t="shared" si="2"/>
        <v>0</v>
      </c>
      <c r="N48" s="31"/>
      <c r="O48" s="31"/>
      <c r="P48" s="30"/>
      <c r="Q48" s="31"/>
      <c r="R48" s="31"/>
      <c r="S48" s="31"/>
    </row>
    <row r="49" spans="1:19" s="7" customFormat="1" ht="12.75">
      <c r="A49" s="96" t="s">
        <v>70</v>
      </c>
      <c r="B49" s="96"/>
      <c r="C49" s="26" t="s">
        <v>26</v>
      </c>
      <c r="D49" s="27" t="s">
        <v>71</v>
      </c>
      <c r="E49" s="28">
        <f>I49+K49</f>
        <v>5962</v>
      </c>
      <c r="F49" s="29">
        <f t="shared" si="1"/>
        <v>5962</v>
      </c>
      <c r="G49" s="29">
        <f>82299-77078+(83+572-79)+57-1-14</f>
        <v>5839</v>
      </c>
      <c r="H49" s="29">
        <f>25+1</f>
        <v>26</v>
      </c>
      <c r="I49" s="28">
        <f>G49+H49</f>
        <v>5865</v>
      </c>
      <c r="J49" s="29"/>
      <c r="K49" s="29">
        <f>79+4+14</f>
        <v>97</v>
      </c>
      <c r="L49" s="30">
        <f>P49+R49</f>
        <v>5072</v>
      </c>
      <c r="M49" s="31">
        <f t="shared" si="2"/>
        <v>5072</v>
      </c>
      <c r="N49" s="31">
        <f>72151-67481+136-29</f>
        <v>4777</v>
      </c>
      <c r="O49" s="31">
        <v>39</v>
      </c>
      <c r="P49" s="30">
        <f>N49+O49</f>
        <v>4816</v>
      </c>
      <c r="Q49" s="31"/>
      <c r="R49" s="31">
        <f>44+68+12+130+2</f>
        <v>256</v>
      </c>
      <c r="S49" s="31"/>
    </row>
    <row r="50" spans="1:19" s="7" customFormat="1" ht="40.5" customHeight="1">
      <c r="A50" s="111" t="s">
        <v>72</v>
      </c>
      <c r="B50" s="111"/>
      <c r="C50" s="34" t="s">
        <v>26</v>
      </c>
      <c r="D50" s="35" t="s">
        <v>73</v>
      </c>
      <c r="E50" s="28">
        <f>SUM(E51:E56)</f>
        <v>79</v>
      </c>
      <c r="F50" s="28">
        <f t="shared" si="1"/>
        <v>79</v>
      </c>
      <c r="G50" s="28">
        <f>G51+G52+G53+G54+G55+G56</f>
        <v>79</v>
      </c>
      <c r="H50" s="28">
        <f>H51+H52+H53+H54+H55+H56</f>
        <v>0</v>
      </c>
      <c r="I50" s="28">
        <f>SUM(I51:I56)</f>
        <v>79</v>
      </c>
      <c r="J50" s="28"/>
      <c r="K50" s="28">
        <f>K51+K52+K53+K54+K55+K56</f>
        <v>0</v>
      </c>
      <c r="L50" s="36">
        <f>SUM(L51:L56)</f>
        <v>29</v>
      </c>
      <c r="M50" s="37">
        <f t="shared" si="2"/>
        <v>29</v>
      </c>
      <c r="N50" s="37">
        <f>N51+N52+N53+N54+N55+N56</f>
        <v>29</v>
      </c>
      <c r="O50" s="37">
        <f>O51+O52+O53+O54+O55+O56</f>
        <v>0</v>
      </c>
      <c r="P50" s="36">
        <f>SUM(P51:P56)</f>
        <v>29</v>
      </c>
      <c r="Q50" s="37"/>
      <c r="R50" s="37">
        <f>R51+R52+R53+R54+R55+R56</f>
        <v>0</v>
      </c>
      <c r="S50" s="37"/>
    </row>
    <row r="51" spans="1:19" s="7" customFormat="1" ht="12.75">
      <c r="A51" s="96" t="s">
        <v>74</v>
      </c>
      <c r="B51" s="96"/>
      <c r="C51" s="26" t="s">
        <v>26</v>
      </c>
      <c r="D51" s="27" t="s">
        <v>75</v>
      </c>
      <c r="E51" s="28"/>
      <c r="F51" s="29">
        <f t="shared" si="1"/>
        <v>0</v>
      </c>
      <c r="G51" s="29"/>
      <c r="H51" s="29"/>
      <c r="I51" s="28"/>
      <c r="J51" s="29"/>
      <c r="K51" s="29"/>
      <c r="L51" s="30"/>
      <c r="M51" s="31">
        <f t="shared" si="2"/>
        <v>0</v>
      </c>
      <c r="N51" s="31"/>
      <c r="O51" s="31"/>
      <c r="P51" s="30"/>
      <c r="Q51" s="31"/>
      <c r="R51" s="31"/>
      <c r="S51" s="31"/>
    </row>
    <row r="52" spans="1:19" s="7" customFormat="1" ht="12.75">
      <c r="A52" s="96" t="s">
        <v>76</v>
      </c>
      <c r="B52" s="96"/>
      <c r="C52" s="26" t="s">
        <v>26</v>
      </c>
      <c r="D52" s="27" t="s">
        <v>77</v>
      </c>
      <c r="E52" s="28"/>
      <c r="F52" s="29">
        <f t="shared" si="1"/>
        <v>0</v>
      </c>
      <c r="G52" s="29"/>
      <c r="H52" s="29"/>
      <c r="I52" s="28"/>
      <c r="J52" s="29"/>
      <c r="K52" s="29"/>
      <c r="L52" s="30"/>
      <c r="M52" s="31">
        <f t="shared" si="2"/>
        <v>0</v>
      </c>
      <c r="N52" s="31"/>
      <c r="O52" s="31"/>
      <c r="P52" s="30"/>
      <c r="Q52" s="31"/>
      <c r="R52" s="31"/>
      <c r="S52" s="31"/>
    </row>
    <row r="53" spans="1:19" s="7" customFormat="1" ht="12.75">
      <c r="A53" s="96" t="s">
        <v>78</v>
      </c>
      <c r="B53" s="96"/>
      <c r="C53" s="26" t="s">
        <v>26</v>
      </c>
      <c r="D53" s="27" t="s">
        <v>79</v>
      </c>
      <c r="E53" s="28"/>
      <c r="F53" s="29">
        <f t="shared" si="1"/>
        <v>0</v>
      </c>
      <c r="G53" s="29"/>
      <c r="H53" s="29"/>
      <c r="I53" s="28"/>
      <c r="J53" s="29"/>
      <c r="K53" s="29"/>
      <c r="L53" s="30"/>
      <c r="M53" s="31">
        <f t="shared" si="2"/>
        <v>0</v>
      </c>
      <c r="N53" s="31"/>
      <c r="O53" s="31"/>
      <c r="P53" s="30"/>
      <c r="Q53" s="31"/>
      <c r="R53" s="31"/>
      <c r="S53" s="31"/>
    </row>
    <row r="54" spans="1:19" s="7" customFormat="1" ht="12.75">
      <c r="A54" s="96" t="s">
        <v>80</v>
      </c>
      <c r="B54" s="96"/>
      <c r="C54" s="26" t="s">
        <v>26</v>
      </c>
      <c r="D54" s="27" t="s">
        <v>81</v>
      </c>
      <c r="E54" s="28">
        <f>I54+K54</f>
        <v>79</v>
      </c>
      <c r="F54" s="29">
        <f>E54</f>
        <v>79</v>
      </c>
      <c r="G54" s="29">
        <f>68+11</f>
        <v>79</v>
      </c>
      <c r="H54" s="29"/>
      <c r="I54" s="28">
        <f>G54+H54</f>
        <v>79</v>
      </c>
      <c r="J54" s="29"/>
      <c r="K54" s="29"/>
      <c r="L54" s="30">
        <f>P54+R54</f>
        <v>29</v>
      </c>
      <c r="M54" s="31">
        <f t="shared" si="2"/>
        <v>29</v>
      </c>
      <c r="N54" s="31">
        <f>23+6</f>
        <v>29</v>
      </c>
      <c r="O54" s="31"/>
      <c r="P54" s="30">
        <f>N54+O54</f>
        <v>29</v>
      </c>
      <c r="Q54" s="31"/>
      <c r="R54" s="31"/>
      <c r="S54" s="31"/>
    </row>
    <row r="55" spans="1:19" s="7" customFormat="1" ht="12.75">
      <c r="A55" s="96" t="s">
        <v>82</v>
      </c>
      <c r="B55" s="96"/>
      <c r="C55" s="26" t="s">
        <v>26</v>
      </c>
      <c r="D55" s="27" t="s">
        <v>83</v>
      </c>
      <c r="E55" s="28"/>
      <c r="F55" s="29">
        <f t="shared" si="1"/>
        <v>0</v>
      </c>
      <c r="G55" s="29"/>
      <c r="H55" s="29"/>
      <c r="I55" s="28"/>
      <c r="J55" s="29"/>
      <c r="K55" s="29"/>
      <c r="L55" s="30"/>
      <c r="M55" s="31">
        <f t="shared" si="2"/>
        <v>0</v>
      </c>
      <c r="N55" s="31"/>
      <c r="O55" s="31"/>
      <c r="P55" s="30"/>
      <c r="Q55" s="31"/>
      <c r="R55" s="31"/>
      <c r="S55" s="31"/>
    </row>
    <row r="56" spans="1:19" s="7" customFormat="1" ht="12.75">
      <c r="A56" s="96" t="s">
        <v>84</v>
      </c>
      <c r="B56" s="96"/>
      <c r="C56" s="26" t="s">
        <v>26</v>
      </c>
      <c r="D56" s="27" t="s">
        <v>85</v>
      </c>
      <c r="E56" s="28"/>
      <c r="F56" s="29">
        <f t="shared" si="1"/>
        <v>0</v>
      </c>
      <c r="G56" s="29"/>
      <c r="H56" s="29"/>
      <c r="I56" s="28"/>
      <c r="J56" s="29"/>
      <c r="K56" s="29"/>
      <c r="L56" s="30"/>
      <c r="M56" s="31">
        <f t="shared" si="2"/>
        <v>0</v>
      </c>
      <c r="N56" s="31"/>
      <c r="O56" s="31"/>
      <c r="P56" s="30"/>
      <c r="Q56" s="31"/>
      <c r="R56" s="31"/>
      <c r="S56" s="31"/>
    </row>
    <row r="57" spans="1:19" s="8" customFormat="1" ht="14.25" customHeight="1">
      <c r="A57" s="109" t="s">
        <v>86</v>
      </c>
      <c r="B57" s="110"/>
      <c r="C57" s="38"/>
      <c r="D57" s="38"/>
      <c r="E57" s="39"/>
      <c r="F57" s="29">
        <f t="shared" si="1"/>
        <v>0</v>
      </c>
      <c r="G57" s="40"/>
      <c r="H57" s="40"/>
      <c r="I57" s="39"/>
      <c r="J57" s="40"/>
      <c r="K57" s="40"/>
      <c r="L57" s="41"/>
      <c r="M57" s="31">
        <f t="shared" si="2"/>
        <v>0</v>
      </c>
      <c r="N57" s="38"/>
      <c r="O57" s="38"/>
      <c r="P57" s="41"/>
      <c r="Q57" s="38"/>
      <c r="R57" s="38"/>
      <c r="S57" s="38"/>
    </row>
    <row r="58" spans="1:19" s="7" customFormat="1" ht="12.75">
      <c r="A58" s="96" t="s">
        <v>87</v>
      </c>
      <c r="B58" s="96"/>
      <c r="C58" s="26" t="s">
        <v>26</v>
      </c>
      <c r="D58" s="27" t="s">
        <v>88</v>
      </c>
      <c r="E58" s="28">
        <f aca="true" t="shared" si="6" ref="E58:E66">I58+K58</f>
        <v>52273</v>
      </c>
      <c r="F58" s="29">
        <f t="shared" si="1"/>
        <v>52273</v>
      </c>
      <c r="G58" s="29">
        <f>G20-G59</f>
        <v>49039</v>
      </c>
      <c r="H58" s="29">
        <f>H20-H59</f>
        <v>46</v>
      </c>
      <c r="I58" s="28">
        <f aca="true" t="shared" si="7" ref="I58:I66">G58+H58</f>
        <v>49085</v>
      </c>
      <c r="J58" s="29"/>
      <c r="K58" s="29">
        <f>K20-K59</f>
        <v>3188</v>
      </c>
      <c r="L58" s="30">
        <f aca="true" t="shared" si="8" ref="L58:L65">P58+R58</f>
        <v>44342</v>
      </c>
      <c r="M58" s="31">
        <f t="shared" si="2"/>
        <v>44342</v>
      </c>
      <c r="N58" s="31">
        <f>N20-N59</f>
        <v>39465</v>
      </c>
      <c r="O58" s="31">
        <f>O20-O59</f>
        <v>139</v>
      </c>
      <c r="P58" s="30">
        <f aca="true" t="shared" si="9" ref="P58:P65">N58+O58</f>
        <v>39604</v>
      </c>
      <c r="Q58" s="31"/>
      <c r="R58" s="31">
        <f>R20-R59</f>
        <v>4738</v>
      </c>
      <c r="S58" s="31"/>
    </row>
    <row r="59" spans="1:19" s="7" customFormat="1" ht="12.75">
      <c r="A59" s="96" t="s">
        <v>89</v>
      </c>
      <c r="B59" s="96"/>
      <c r="C59" s="26" t="s">
        <v>26</v>
      </c>
      <c r="D59" s="27" t="s">
        <v>90</v>
      </c>
      <c r="E59" s="28">
        <f t="shared" si="6"/>
        <v>35186</v>
      </c>
      <c r="F59" s="29">
        <f t="shared" si="1"/>
        <v>35186</v>
      </c>
      <c r="G59" s="29">
        <f>15384+18435+2</f>
        <v>33821</v>
      </c>
      <c r="H59" s="29">
        <f>69+80</f>
        <v>149</v>
      </c>
      <c r="I59" s="28">
        <f t="shared" si="7"/>
        <v>33970</v>
      </c>
      <c r="J59" s="29"/>
      <c r="K59" s="29">
        <f>657+477+79+3</f>
        <v>1216</v>
      </c>
      <c r="L59" s="30">
        <f t="shared" si="8"/>
        <v>34558</v>
      </c>
      <c r="M59" s="31">
        <f t="shared" si="2"/>
        <v>34558</v>
      </c>
      <c r="N59" s="31">
        <f>18251+14539+3</f>
        <v>32793</v>
      </c>
      <c r="O59" s="31">
        <f>29+86</f>
        <v>115</v>
      </c>
      <c r="P59" s="30">
        <f t="shared" si="9"/>
        <v>32908</v>
      </c>
      <c r="Q59" s="31"/>
      <c r="R59" s="31">
        <f>960+479+79+132</f>
        <v>1650</v>
      </c>
      <c r="S59" s="31"/>
    </row>
    <row r="60" spans="1:19" s="7" customFormat="1" ht="51.75" customHeight="1">
      <c r="A60" s="108" t="s">
        <v>91</v>
      </c>
      <c r="B60" s="108"/>
      <c r="C60" s="26" t="s">
        <v>26</v>
      </c>
      <c r="D60" s="67" t="s">
        <v>92</v>
      </c>
      <c r="E60" s="63">
        <f t="shared" si="6"/>
        <v>7638</v>
      </c>
      <c r="F60" s="62">
        <f t="shared" si="1"/>
        <v>7638</v>
      </c>
      <c r="G60" s="29">
        <f>214+46+7378</f>
        <v>7638</v>
      </c>
      <c r="H60" s="62"/>
      <c r="I60" s="63">
        <f t="shared" si="7"/>
        <v>7638</v>
      </c>
      <c r="J60" s="65"/>
      <c r="K60" s="65"/>
      <c r="L60" s="30">
        <f t="shared" si="8"/>
        <v>0</v>
      </c>
      <c r="M60" s="31">
        <f t="shared" si="2"/>
        <v>0</v>
      </c>
      <c r="N60" s="31"/>
      <c r="O60" s="31"/>
      <c r="P60" s="30">
        <f t="shared" si="9"/>
        <v>0</v>
      </c>
      <c r="Q60" s="31"/>
      <c r="R60" s="31"/>
      <c r="S60" s="31"/>
    </row>
    <row r="61" spans="1:19" s="7" customFormat="1" ht="34.5" customHeight="1">
      <c r="A61" s="96" t="s">
        <v>93</v>
      </c>
      <c r="B61" s="96"/>
      <c r="C61" s="26" t="s">
        <v>26</v>
      </c>
      <c r="D61" s="27" t="s">
        <v>94</v>
      </c>
      <c r="E61" s="28">
        <f t="shared" si="6"/>
        <v>4764</v>
      </c>
      <c r="F61" s="29">
        <f t="shared" si="1"/>
        <v>4764</v>
      </c>
      <c r="G61" s="29">
        <f>G62+G63+G64+G65</f>
        <v>4764</v>
      </c>
      <c r="H61" s="29"/>
      <c r="I61" s="28">
        <f t="shared" si="7"/>
        <v>4764</v>
      </c>
      <c r="J61" s="29"/>
      <c r="K61" s="29"/>
      <c r="L61" s="30">
        <f t="shared" si="8"/>
        <v>5279</v>
      </c>
      <c r="M61" s="31">
        <f t="shared" si="2"/>
        <v>5279</v>
      </c>
      <c r="N61" s="31">
        <f>N62+N63+N64+N65</f>
        <v>5279</v>
      </c>
      <c r="O61" s="31"/>
      <c r="P61" s="30">
        <f t="shared" si="9"/>
        <v>5279</v>
      </c>
      <c r="Q61" s="31"/>
      <c r="R61" s="31"/>
      <c r="S61" s="31"/>
    </row>
    <row r="62" spans="1:19" s="7" customFormat="1" ht="12" customHeight="1">
      <c r="A62" s="96" t="s">
        <v>95</v>
      </c>
      <c r="B62" s="96"/>
      <c r="C62" s="26" t="s">
        <v>26</v>
      </c>
      <c r="D62" s="27"/>
      <c r="E62" s="28">
        <f t="shared" si="6"/>
        <v>344</v>
      </c>
      <c r="F62" s="29">
        <f t="shared" si="1"/>
        <v>344</v>
      </c>
      <c r="G62" s="28">
        <f>224+120</f>
        <v>344</v>
      </c>
      <c r="H62" s="29"/>
      <c r="I62" s="28">
        <f t="shared" si="7"/>
        <v>344</v>
      </c>
      <c r="J62" s="29"/>
      <c r="K62" s="29"/>
      <c r="L62" s="30">
        <f t="shared" si="8"/>
        <v>448</v>
      </c>
      <c r="M62" s="31">
        <f t="shared" si="2"/>
        <v>448</v>
      </c>
      <c r="N62" s="31">
        <f>281-52-5+241-19+2</f>
        <v>448</v>
      </c>
      <c r="O62" s="31"/>
      <c r="P62" s="30">
        <f t="shared" si="9"/>
        <v>448</v>
      </c>
      <c r="Q62" s="31"/>
      <c r="R62" s="31"/>
      <c r="S62" s="31"/>
    </row>
    <row r="63" spans="1:19" s="7" customFormat="1" ht="12.75">
      <c r="A63" s="96" t="s">
        <v>96</v>
      </c>
      <c r="B63" s="96"/>
      <c r="C63" s="26" t="s">
        <v>26</v>
      </c>
      <c r="D63" s="27"/>
      <c r="E63" s="28">
        <f t="shared" si="6"/>
        <v>4305</v>
      </c>
      <c r="F63" s="29">
        <f t="shared" si="1"/>
        <v>4305</v>
      </c>
      <c r="G63" s="28">
        <f>354+107+2953+891</f>
        <v>4305</v>
      </c>
      <c r="H63" s="29"/>
      <c r="I63" s="28">
        <f t="shared" si="7"/>
        <v>4305</v>
      </c>
      <c r="J63" s="29"/>
      <c r="K63" s="29"/>
      <c r="L63" s="30">
        <f t="shared" si="8"/>
        <v>4641</v>
      </c>
      <c r="M63" s="31">
        <f t="shared" si="2"/>
        <v>4641</v>
      </c>
      <c r="N63" s="31">
        <f>206+62+3356+1017</f>
        <v>4641</v>
      </c>
      <c r="O63" s="31"/>
      <c r="P63" s="30">
        <f t="shared" si="9"/>
        <v>4641</v>
      </c>
      <c r="Q63" s="31"/>
      <c r="R63" s="31"/>
      <c r="S63" s="31"/>
    </row>
    <row r="64" spans="1:19" s="7" customFormat="1" ht="33.75" customHeight="1">
      <c r="A64" s="96" t="s">
        <v>97</v>
      </c>
      <c r="B64" s="96"/>
      <c r="C64" s="26" t="s">
        <v>26</v>
      </c>
      <c r="D64" s="27"/>
      <c r="E64" s="28">
        <f t="shared" si="6"/>
        <v>0</v>
      </c>
      <c r="F64" s="29">
        <f t="shared" si="1"/>
        <v>0</v>
      </c>
      <c r="G64" s="28"/>
      <c r="H64" s="29"/>
      <c r="I64" s="28">
        <f t="shared" si="7"/>
        <v>0</v>
      </c>
      <c r="J64" s="29"/>
      <c r="K64" s="29"/>
      <c r="L64" s="30">
        <f t="shared" si="8"/>
        <v>95</v>
      </c>
      <c r="M64" s="31">
        <f t="shared" si="2"/>
        <v>95</v>
      </c>
      <c r="N64" s="31">
        <f>60+35</f>
        <v>95</v>
      </c>
      <c r="O64" s="31"/>
      <c r="P64" s="30">
        <f t="shared" si="9"/>
        <v>95</v>
      </c>
      <c r="Q64" s="31"/>
      <c r="R64" s="31"/>
      <c r="S64" s="31"/>
    </row>
    <row r="65" spans="1:19" s="7" customFormat="1" ht="18.75" customHeight="1">
      <c r="A65" s="96" t="s">
        <v>98</v>
      </c>
      <c r="B65" s="96"/>
      <c r="C65" s="26" t="s">
        <v>26</v>
      </c>
      <c r="D65" s="27"/>
      <c r="E65" s="28">
        <f t="shared" si="6"/>
        <v>115</v>
      </c>
      <c r="F65" s="29">
        <f t="shared" si="1"/>
        <v>115</v>
      </c>
      <c r="G65" s="28">
        <f>735+4029-344-4305</f>
        <v>115</v>
      </c>
      <c r="H65" s="29"/>
      <c r="I65" s="28">
        <f t="shared" si="7"/>
        <v>115</v>
      </c>
      <c r="J65" s="29"/>
      <c r="K65" s="29"/>
      <c r="L65" s="30">
        <f t="shared" si="8"/>
        <v>95</v>
      </c>
      <c r="M65" s="31">
        <f t="shared" si="2"/>
        <v>95</v>
      </c>
      <c r="N65" s="31">
        <f>19+19+52+5</f>
        <v>95</v>
      </c>
      <c r="O65" s="31"/>
      <c r="P65" s="30">
        <f t="shared" si="9"/>
        <v>95</v>
      </c>
      <c r="Q65" s="31"/>
      <c r="R65" s="31"/>
      <c r="S65" s="31"/>
    </row>
    <row r="66" spans="1:19" s="7" customFormat="1" ht="43.5" customHeight="1">
      <c r="A66" s="96" t="s">
        <v>99</v>
      </c>
      <c r="B66" s="96"/>
      <c r="C66" s="26" t="s">
        <v>26</v>
      </c>
      <c r="D66" s="27" t="s">
        <v>100</v>
      </c>
      <c r="E66" s="28">
        <f t="shared" si="6"/>
        <v>0</v>
      </c>
      <c r="F66" s="29">
        <f t="shared" si="1"/>
        <v>0</v>
      </c>
      <c r="G66" s="29">
        <v>0</v>
      </c>
      <c r="H66" s="29"/>
      <c r="I66" s="28">
        <f t="shared" si="7"/>
        <v>0</v>
      </c>
      <c r="J66" s="29"/>
      <c r="K66" s="29"/>
      <c r="L66" s="30"/>
      <c r="M66" s="31">
        <f t="shared" si="2"/>
        <v>0</v>
      </c>
      <c r="N66" s="31"/>
      <c r="O66" s="31"/>
      <c r="P66" s="30"/>
      <c r="Q66" s="31"/>
      <c r="R66" s="31"/>
      <c r="S66" s="31"/>
    </row>
    <row r="67" spans="3:13" ht="9" customHeight="1">
      <c r="C67" s="9"/>
      <c r="L67" s="42"/>
      <c r="M67" s="42"/>
    </row>
    <row r="68" spans="1:19" s="4" customFormat="1" ht="11.25" customHeight="1">
      <c r="A68" s="55"/>
      <c r="B68" s="102" t="s">
        <v>101</v>
      </c>
      <c r="C68" s="102"/>
      <c r="D68" s="102"/>
      <c r="E68" s="102"/>
      <c r="F68" s="102"/>
      <c r="G68" s="102"/>
      <c r="H68" s="102"/>
      <c r="I68" s="55"/>
      <c r="J68" s="55"/>
      <c r="K68" s="55"/>
      <c r="L68" s="56"/>
      <c r="M68" s="56"/>
      <c r="N68" s="55"/>
      <c r="O68" s="55"/>
      <c r="P68" s="55"/>
      <c r="Q68" s="55"/>
      <c r="R68" s="55"/>
      <c r="S68" s="55"/>
    </row>
    <row r="69" spans="1:19" s="1" customFormat="1" ht="12.75" customHeight="1">
      <c r="A69" s="57"/>
      <c r="B69" s="57" t="s">
        <v>125</v>
      </c>
      <c r="C69" s="58"/>
      <c r="D69" s="58"/>
      <c r="E69" s="58"/>
      <c r="F69" s="58"/>
      <c r="G69" s="58"/>
      <c r="H69" s="58"/>
      <c r="I69" s="58"/>
      <c r="J69" s="58"/>
      <c r="K69" s="58"/>
      <c r="L69" s="56"/>
      <c r="M69" s="56"/>
      <c r="N69" s="58"/>
      <c r="O69" s="58"/>
      <c r="P69" s="58"/>
      <c r="Q69" s="58"/>
      <c r="R69" s="58"/>
      <c r="S69" s="58"/>
    </row>
    <row r="70" spans="1:19" s="4" customFormat="1" ht="11.25" customHeight="1">
      <c r="A70" s="55"/>
      <c r="B70" s="55" t="s">
        <v>126</v>
      </c>
      <c r="C70" s="55"/>
      <c r="D70" s="55"/>
      <c r="E70" s="55"/>
      <c r="F70" s="55"/>
      <c r="G70" s="55"/>
      <c r="H70" s="55"/>
      <c r="I70" s="55"/>
      <c r="J70" s="55"/>
      <c r="K70" s="55"/>
      <c r="L70" s="56"/>
      <c r="M70" s="56"/>
      <c r="N70" s="55"/>
      <c r="O70" s="55"/>
      <c r="P70" s="55"/>
      <c r="Q70" s="55"/>
      <c r="R70" s="55"/>
      <c r="S70" s="55"/>
    </row>
    <row r="71" spans="1:19" s="4" customFormat="1" ht="12" customHeight="1">
      <c r="A71" s="55"/>
      <c r="B71" s="55" t="s">
        <v>127</v>
      </c>
      <c r="C71" s="55"/>
      <c r="D71" s="55"/>
      <c r="E71" s="55"/>
      <c r="F71" s="55"/>
      <c r="G71" s="55"/>
      <c r="H71" s="55"/>
      <c r="I71" s="55"/>
      <c r="J71" s="55"/>
      <c r="K71" s="55"/>
      <c r="L71" s="56"/>
      <c r="M71" s="56"/>
      <c r="N71" s="55"/>
      <c r="O71" s="55"/>
      <c r="P71" s="55"/>
      <c r="Q71" s="55"/>
      <c r="R71" s="55"/>
      <c r="S71" s="55"/>
    </row>
    <row r="72" spans="1:19" s="1" customFormat="1" ht="24.75" customHeight="1">
      <c r="A72" s="57"/>
      <c r="B72" s="57" t="s">
        <v>128</v>
      </c>
      <c r="C72" s="58"/>
      <c r="D72" s="58"/>
      <c r="E72" s="58"/>
      <c r="F72" s="58"/>
      <c r="G72" s="58"/>
      <c r="H72" s="58"/>
      <c r="I72" s="58"/>
      <c r="J72" s="58"/>
      <c r="K72" s="58"/>
      <c r="L72" s="56"/>
      <c r="M72" s="56"/>
      <c r="N72" s="58"/>
      <c r="O72" s="58"/>
      <c r="P72" s="58"/>
      <c r="Q72" s="58"/>
      <c r="R72" s="58"/>
      <c r="S72" s="58"/>
    </row>
    <row r="73" spans="1:19" s="1" customFormat="1" ht="38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42"/>
      <c r="M73" s="42"/>
      <c r="N73" s="20"/>
      <c r="O73" s="20"/>
      <c r="P73" s="20"/>
      <c r="Q73" s="12"/>
      <c r="R73" s="12"/>
      <c r="S73" s="12"/>
    </row>
    <row r="74" spans="1:19" s="1" customFormat="1" ht="30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42"/>
      <c r="M74" s="42"/>
      <c r="N74" s="20"/>
      <c r="O74" s="20"/>
      <c r="P74" s="20"/>
      <c r="Q74" s="20"/>
      <c r="R74" s="20"/>
      <c r="S74" s="10" t="s">
        <v>102</v>
      </c>
    </row>
    <row r="75" spans="1:19" s="11" customFormat="1" ht="57.75" customHeight="1">
      <c r="A75" s="103" t="s">
        <v>103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42"/>
      <c r="M75" s="42"/>
      <c r="N75" s="43"/>
      <c r="O75" s="43"/>
      <c r="P75" s="43"/>
      <c r="Q75" s="43"/>
      <c r="R75" s="43"/>
      <c r="S75" s="43"/>
    </row>
    <row r="76" spans="1:19" s="5" customFormat="1" ht="9" customHeight="1">
      <c r="A76" s="104" t="s">
        <v>8</v>
      </c>
      <c r="B76" s="105"/>
      <c r="C76" s="104" t="s">
        <v>9</v>
      </c>
      <c r="D76" s="104" t="s">
        <v>10</v>
      </c>
      <c r="E76" s="104" t="s">
        <v>104</v>
      </c>
      <c r="F76" s="97" t="s">
        <v>11</v>
      </c>
      <c r="G76" s="97" t="s">
        <v>12</v>
      </c>
      <c r="H76" s="97"/>
      <c r="I76" s="97"/>
      <c r="J76" s="97"/>
      <c r="K76" s="97"/>
      <c r="L76" s="97" t="s">
        <v>105</v>
      </c>
      <c r="M76" s="97" t="s">
        <v>14</v>
      </c>
      <c r="N76" s="97" t="s">
        <v>15</v>
      </c>
      <c r="O76" s="97"/>
      <c r="P76" s="97"/>
      <c r="Q76" s="97"/>
      <c r="R76" s="97"/>
      <c r="S76" s="98" t="s">
        <v>16</v>
      </c>
    </row>
    <row r="77" spans="1:19" s="5" customFormat="1" ht="93" customHeight="1">
      <c r="A77" s="106"/>
      <c r="B77" s="107"/>
      <c r="C77" s="106"/>
      <c r="D77" s="106"/>
      <c r="E77" s="106"/>
      <c r="F77" s="97"/>
      <c r="G77" s="47" t="s">
        <v>106</v>
      </c>
      <c r="H77" s="47" t="s">
        <v>18</v>
      </c>
      <c r="I77" s="47" t="s">
        <v>107</v>
      </c>
      <c r="J77" s="47" t="s">
        <v>20</v>
      </c>
      <c r="K77" s="47" t="s">
        <v>21</v>
      </c>
      <c r="L77" s="97"/>
      <c r="M77" s="97"/>
      <c r="N77" s="47" t="s">
        <v>17</v>
      </c>
      <c r="O77" s="47" t="s">
        <v>22</v>
      </c>
      <c r="P77" s="47" t="s">
        <v>23</v>
      </c>
      <c r="Q77" s="47" t="s">
        <v>20</v>
      </c>
      <c r="R77" s="47" t="s">
        <v>21</v>
      </c>
      <c r="S77" s="99"/>
    </row>
    <row r="78" spans="1:19" s="6" customFormat="1" ht="9" customHeight="1">
      <c r="A78" s="100">
        <v>1</v>
      </c>
      <c r="B78" s="101"/>
      <c r="C78" s="50">
        <v>2</v>
      </c>
      <c r="D78" s="50">
        <v>3</v>
      </c>
      <c r="E78" s="50">
        <v>4</v>
      </c>
      <c r="F78" s="50">
        <v>5</v>
      </c>
      <c r="G78" s="50">
        <v>6</v>
      </c>
      <c r="H78" s="50">
        <v>7</v>
      </c>
      <c r="I78" s="60">
        <v>8</v>
      </c>
      <c r="J78" s="60">
        <v>9</v>
      </c>
      <c r="K78" s="50">
        <v>10</v>
      </c>
      <c r="L78" s="50">
        <v>11</v>
      </c>
      <c r="M78" s="50">
        <v>12</v>
      </c>
      <c r="N78" s="50">
        <v>13</v>
      </c>
      <c r="O78" s="50">
        <v>14</v>
      </c>
      <c r="P78" s="60">
        <v>15</v>
      </c>
      <c r="Q78" s="60">
        <v>16</v>
      </c>
      <c r="R78" s="59">
        <v>17</v>
      </c>
      <c r="S78" s="50">
        <v>18</v>
      </c>
    </row>
    <row r="79" spans="1:19" s="7" customFormat="1" ht="11.25" customHeight="1">
      <c r="A79" s="96" t="s">
        <v>108</v>
      </c>
      <c r="B79" s="96"/>
      <c r="C79" s="26" t="s">
        <v>26</v>
      </c>
      <c r="D79" s="27" t="s">
        <v>109</v>
      </c>
      <c r="E79" s="37">
        <f>F79</f>
        <v>18886</v>
      </c>
      <c r="F79" s="37">
        <v>18886</v>
      </c>
      <c r="G79" s="31" t="s">
        <v>110</v>
      </c>
      <c r="H79" s="31" t="s">
        <v>110</v>
      </c>
      <c r="I79" s="31" t="s">
        <v>110</v>
      </c>
      <c r="J79" s="31"/>
      <c r="K79" s="31" t="s">
        <v>110</v>
      </c>
      <c r="L79" s="37">
        <f>M79</f>
        <v>30286</v>
      </c>
      <c r="M79" s="37">
        <v>30286</v>
      </c>
      <c r="N79" s="26" t="s">
        <v>110</v>
      </c>
      <c r="O79" s="26" t="s">
        <v>110</v>
      </c>
      <c r="P79" s="26" t="s">
        <v>110</v>
      </c>
      <c r="Q79" s="26"/>
      <c r="R79" s="26" t="s">
        <v>110</v>
      </c>
      <c r="S79" s="26"/>
    </row>
    <row r="80" spans="1:19" s="7" customFormat="1" ht="14.25" customHeight="1">
      <c r="A80" s="95" t="s">
        <v>111</v>
      </c>
      <c r="B80" s="95"/>
      <c r="C80" s="26" t="s">
        <v>26</v>
      </c>
      <c r="D80" s="27" t="s">
        <v>112</v>
      </c>
      <c r="E80" s="31" t="s">
        <v>110</v>
      </c>
      <c r="F80" s="31" t="s">
        <v>110</v>
      </c>
      <c r="G80" s="69">
        <v>18886</v>
      </c>
      <c r="H80" s="31" t="s">
        <v>112</v>
      </c>
      <c r="I80" s="31" t="s">
        <v>110</v>
      </c>
      <c r="J80" s="31"/>
      <c r="K80" s="31" t="s">
        <v>110</v>
      </c>
      <c r="L80" s="31" t="s">
        <v>110</v>
      </c>
      <c r="M80" s="26" t="s">
        <v>110</v>
      </c>
      <c r="N80" s="37">
        <v>30286</v>
      </c>
      <c r="O80" s="31"/>
      <c r="P80" s="26" t="s">
        <v>110</v>
      </c>
      <c r="Q80" s="26"/>
      <c r="R80" s="26" t="s">
        <v>110</v>
      </c>
      <c r="S80" s="26"/>
    </row>
    <row r="81" spans="1:19" s="7" customFormat="1" ht="58.5" customHeight="1">
      <c r="A81" s="96" t="s">
        <v>113</v>
      </c>
      <c r="B81" s="96"/>
      <c r="C81" s="26" t="s">
        <v>26</v>
      </c>
      <c r="D81" s="27" t="s">
        <v>114</v>
      </c>
      <c r="E81" s="31" t="s">
        <v>110</v>
      </c>
      <c r="F81" s="31" t="s">
        <v>110</v>
      </c>
      <c r="G81" s="31"/>
      <c r="H81" s="31"/>
      <c r="I81" s="31" t="s">
        <v>110</v>
      </c>
      <c r="J81" s="31"/>
      <c r="K81" s="31" t="s">
        <v>110</v>
      </c>
      <c r="L81" s="31" t="s">
        <v>110</v>
      </c>
      <c r="M81" s="26" t="s">
        <v>110</v>
      </c>
      <c r="N81" s="31"/>
      <c r="O81" s="31"/>
      <c r="P81" s="26" t="s">
        <v>110</v>
      </c>
      <c r="Q81" s="26"/>
      <c r="R81" s="26" t="s">
        <v>110</v>
      </c>
      <c r="S81" s="26"/>
    </row>
    <row r="82" spans="1:19" s="7" customFormat="1" ht="55.5" customHeight="1">
      <c r="A82" s="96" t="s">
        <v>115</v>
      </c>
      <c r="B82" s="96"/>
      <c r="C82" s="26" t="s">
        <v>26</v>
      </c>
      <c r="D82" s="27" t="s">
        <v>116</v>
      </c>
      <c r="E82" s="31" t="s">
        <v>110</v>
      </c>
      <c r="F82" s="31" t="s">
        <v>110</v>
      </c>
      <c r="G82" s="31"/>
      <c r="H82" s="31"/>
      <c r="I82" s="31" t="s">
        <v>110</v>
      </c>
      <c r="J82" s="31"/>
      <c r="K82" s="31" t="s">
        <v>110</v>
      </c>
      <c r="L82" s="31" t="s">
        <v>110</v>
      </c>
      <c r="M82" s="26" t="s">
        <v>110</v>
      </c>
      <c r="N82" s="26"/>
      <c r="O82" s="26"/>
      <c r="P82" s="26" t="s">
        <v>110</v>
      </c>
      <c r="Q82" s="26"/>
      <c r="R82" s="26" t="s">
        <v>110</v>
      </c>
      <c r="S82" s="26"/>
    </row>
    <row r="83" spans="1:19" s="7" customFormat="1" ht="9.75" customHeight="1">
      <c r="A83" s="96" t="s">
        <v>117</v>
      </c>
      <c r="B83" s="96"/>
      <c r="C83" s="26" t="s">
        <v>26</v>
      </c>
      <c r="D83" s="27" t="s">
        <v>118</v>
      </c>
      <c r="E83" s="68">
        <f>I83+J83</f>
        <v>1715</v>
      </c>
      <c r="F83" s="68">
        <f>E83</f>
        <v>1715</v>
      </c>
      <c r="G83" s="68" t="s">
        <v>110</v>
      </c>
      <c r="H83" s="68" t="s">
        <v>110</v>
      </c>
      <c r="I83" s="68">
        <v>1715</v>
      </c>
      <c r="J83" s="61"/>
      <c r="K83" s="61" t="s">
        <v>112</v>
      </c>
      <c r="L83" s="31">
        <f>P83+R83</f>
        <v>9302</v>
      </c>
      <c r="M83" s="31">
        <f>L83</f>
        <v>9302</v>
      </c>
      <c r="N83" s="26" t="s">
        <v>110</v>
      </c>
      <c r="O83" s="26" t="s">
        <v>110</v>
      </c>
      <c r="P83" s="31">
        <v>9302</v>
      </c>
      <c r="Q83" s="31"/>
      <c r="R83" s="26"/>
      <c r="S83" s="26"/>
    </row>
    <row r="84" spans="1:19" s="7" customFormat="1" ht="9.75" customHeight="1">
      <c r="A84" s="96" t="s">
        <v>119</v>
      </c>
      <c r="B84" s="96"/>
      <c r="C84" s="26" t="s">
        <v>26</v>
      </c>
      <c r="D84" s="27" t="s">
        <v>120</v>
      </c>
      <c r="E84" s="68">
        <f>F84</f>
        <v>1236015</v>
      </c>
      <c r="F84" s="68">
        <f>I84</f>
        <v>1236015</v>
      </c>
      <c r="G84" s="68" t="s">
        <v>110</v>
      </c>
      <c r="H84" s="68" t="s">
        <v>110</v>
      </c>
      <c r="I84" s="68">
        <v>1236015</v>
      </c>
      <c r="J84" s="61"/>
      <c r="K84" s="61" t="s">
        <v>112</v>
      </c>
      <c r="L84" s="31">
        <f>P84+R84</f>
        <v>1236015</v>
      </c>
      <c r="M84" s="31">
        <f>L84</f>
        <v>1236015</v>
      </c>
      <c r="N84" s="26" t="s">
        <v>110</v>
      </c>
      <c r="O84" s="26" t="s">
        <v>110</v>
      </c>
      <c r="P84" s="31">
        <f>757646+474217+3179+973</f>
        <v>1236015</v>
      </c>
      <c r="Q84" s="31"/>
      <c r="R84" s="26"/>
      <c r="S84" s="26"/>
    </row>
    <row r="85" spans="1:19" s="7" customFormat="1" ht="9.75" customHeight="1">
      <c r="A85" s="96" t="s">
        <v>121</v>
      </c>
      <c r="B85" s="96"/>
      <c r="C85" s="26" t="s">
        <v>26</v>
      </c>
      <c r="D85" s="27" t="s">
        <v>122</v>
      </c>
      <c r="E85" s="31">
        <f>F85</f>
        <v>7378</v>
      </c>
      <c r="F85" s="31">
        <f>I85</f>
        <v>7378</v>
      </c>
      <c r="G85" s="31" t="s">
        <v>110</v>
      </c>
      <c r="H85" s="31" t="s">
        <v>110</v>
      </c>
      <c r="I85" s="31">
        <v>7378</v>
      </c>
      <c r="J85" s="31"/>
      <c r="K85" s="31"/>
      <c r="L85" s="31">
        <f>P85+R85</f>
        <v>20</v>
      </c>
      <c r="M85" s="31">
        <f>L85</f>
        <v>20</v>
      </c>
      <c r="N85" s="26" t="s">
        <v>110</v>
      </c>
      <c r="O85" s="26" t="s">
        <v>110</v>
      </c>
      <c r="P85" s="26">
        <v>20</v>
      </c>
      <c r="Q85" s="26"/>
      <c r="R85" s="26"/>
      <c r="S85" s="26"/>
    </row>
    <row r="86" ht="10.5" customHeight="1">
      <c r="C86" s="9"/>
    </row>
    <row r="87" spans="1:19" s="1" customFormat="1" ht="8.25" customHeight="1">
      <c r="A87" s="57"/>
      <c r="B87" s="57" t="s">
        <v>125</v>
      </c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20"/>
      <c r="N87" s="20"/>
      <c r="O87" s="20"/>
      <c r="P87" s="20"/>
      <c r="Q87" s="20"/>
      <c r="R87" s="20"/>
      <c r="S87" s="20"/>
    </row>
    <row r="88" spans="1:19" s="4" customFormat="1" ht="11.25" customHeight="1">
      <c r="A88" s="55"/>
      <c r="B88" s="55" t="s">
        <v>126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9"/>
      <c r="N88" s="9"/>
      <c r="O88" s="9"/>
      <c r="P88" s="9"/>
      <c r="Q88" s="9"/>
      <c r="R88" s="9"/>
      <c r="S88" s="9"/>
    </row>
    <row r="89" spans="1:19" s="4" customFormat="1" ht="11.25" customHeight="1">
      <c r="A89" s="55"/>
      <c r="B89" s="55" t="s">
        <v>127</v>
      </c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9"/>
      <c r="N89" s="9"/>
      <c r="O89" s="9"/>
      <c r="P89" s="9"/>
      <c r="Q89" s="9"/>
      <c r="R89" s="9"/>
      <c r="S89" s="9"/>
    </row>
    <row r="90" spans="1:19" s="4" customFormat="1" ht="7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2:11" ht="12.75" customHeight="1">
      <c r="B91" s="44" t="s">
        <v>132</v>
      </c>
      <c r="C91" s="92" t="s">
        <v>133</v>
      </c>
      <c r="D91" s="92"/>
      <c r="E91" s="92"/>
      <c r="F91" s="92"/>
      <c r="G91" s="92"/>
      <c r="H91" s="92"/>
      <c r="I91" s="92"/>
      <c r="J91" s="92"/>
      <c r="K91" s="92"/>
    </row>
    <row r="92" spans="3:11" ht="36" customHeight="1">
      <c r="C92" s="92"/>
      <c r="D92" s="92"/>
      <c r="E92" s="92"/>
      <c r="F92" s="92"/>
      <c r="G92" s="92"/>
      <c r="H92" s="92"/>
      <c r="I92" s="92"/>
      <c r="J92" s="92"/>
      <c r="K92" s="92"/>
    </row>
    <row r="93" spans="1:19" s="4" customFormat="1" ht="7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s="4" customFormat="1" ht="27" customHeight="1">
      <c r="A94" s="9"/>
      <c r="B94" s="79" t="s">
        <v>123</v>
      </c>
      <c r="C94" s="80" t="s">
        <v>136</v>
      </c>
      <c r="D94" s="80"/>
      <c r="E94" s="80"/>
      <c r="F94" s="80"/>
      <c r="G94" s="80"/>
      <c r="H94" s="80"/>
      <c r="I94" s="79"/>
      <c r="J94" s="79"/>
      <c r="K94" s="79"/>
      <c r="L94" s="93"/>
      <c r="M94" s="93"/>
      <c r="N94" s="80"/>
      <c r="O94" s="81" t="s">
        <v>137</v>
      </c>
      <c r="P94" s="82"/>
      <c r="Q94" s="9"/>
      <c r="R94" s="9"/>
      <c r="S94" s="9"/>
    </row>
    <row r="95" spans="1:19" s="4" customFormat="1" ht="24.75" customHeight="1">
      <c r="A95" s="9"/>
      <c r="B95" s="79"/>
      <c r="C95" s="83" t="s">
        <v>124</v>
      </c>
      <c r="D95" s="83"/>
      <c r="E95" s="83"/>
      <c r="F95" s="83"/>
      <c r="G95" s="83"/>
      <c r="H95" s="83"/>
      <c r="I95" s="79"/>
      <c r="J95" s="79"/>
      <c r="K95" s="79"/>
      <c r="L95" s="94"/>
      <c r="M95" s="94"/>
      <c r="N95" s="83"/>
      <c r="O95" s="84" t="s">
        <v>141</v>
      </c>
      <c r="P95" s="85"/>
      <c r="Q95" s="9"/>
      <c r="R95" s="9"/>
      <c r="S95" s="9"/>
    </row>
    <row r="96" spans="1:19" s="4" customFormat="1" ht="51" customHeight="1">
      <c r="A96" s="15" t="s">
        <v>142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78"/>
      <c r="M96" s="78"/>
      <c r="N96" s="15"/>
      <c r="O96" s="78"/>
      <c r="P96" s="9"/>
      <c r="Q96" s="9"/>
      <c r="R96" s="9"/>
      <c r="S96" s="9"/>
    </row>
    <row r="97" s="4" customFormat="1" ht="10.5" customHeight="1">
      <c r="A97" s="15" t="s">
        <v>143</v>
      </c>
    </row>
    <row r="98" spans="1:3" s="3" customFormat="1" ht="17.25" customHeight="1">
      <c r="A98" s="13" t="s">
        <v>124</v>
      </c>
      <c r="B98" s="13"/>
      <c r="C98" s="4"/>
    </row>
    <row r="99" s="4" customFormat="1" ht="8.25" customHeight="1"/>
    <row r="100" ht="3" customHeight="1"/>
  </sheetData>
  <sheetProtection/>
  <mergeCells count="83">
    <mergeCell ref="B3:S3"/>
    <mergeCell ref="B4:S4"/>
    <mergeCell ref="A17:B18"/>
    <mergeCell ref="C17:C18"/>
    <mergeCell ref="D17:D18"/>
    <mergeCell ref="E17:E18"/>
    <mergeCell ref="F17:F18"/>
    <mergeCell ref="G17:K17"/>
    <mergeCell ref="L17:L18"/>
    <mergeCell ref="M17:M18"/>
    <mergeCell ref="N17:R17"/>
    <mergeCell ref="S17:S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B68:H68"/>
    <mergeCell ref="A75:K75"/>
    <mergeCell ref="A76:B77"/>
    <mergeCell ref="C76:C77"/>
    <mergeCell ref="D76:D77"/>
    <mergeCell ref="E76:E77"/>
    <mergeCell ref="F76:F77"/>
    <mergeCell ref="G76:K76"/>
    <mergeCell ref="L76:L77"/>
    <mergeCell ref="M76:M77"/>
    <mergeCell ref="N76:R76"/>
    <mergeCell ref="S76:S77"/>
    <mergeCell ref="A78:B78"/>
    <mergeCell ref="A79:B79"/>
    <mergeCell ref="C91:K92"/>
    <mergeCell ref="L94:M94"/>
    <mergeCell ref="L95:M95"/>
    <mergeCell ref="A80:B80"/>
    <mergeCell ref="A81:B81"/>
    <mergeCell ref="A82:B82"/>
    <mergeCell ref="A83:B83"/>
    <mergeCell ref="A84:B84"/>
    <mergeCell ref="A85:B85"/>
  </mergeCells>
  <printOptions/>
  <pageMargins left="0.31496062992125984" right="0" top="0.7874015748031497" bottom="0.3937007874015748" header="0.15748031496062992" footer="0.15748031496062992"/>
  <pageSetup fitToHeight="0" fitToWidth="1" horizontalDpi="600" verticalDpi="600" orientation="landscape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97"/>
  <sheetViews>
    <sheetView zoomScale="130" zoomScaleNormal="130" zoomScalePageLayoutView="0" workbookViewId="0" topLeftCell="I32">
      <selection activeCell="R41" sqref="R41"/>
    </sheetView>
  </sheetViews>
  <sheetFormatPr defaultColWidth="0.875" defaultRowHeight="12.75"/>
  <cols>
    <col min="1" max="1" width="7.875" style="9" customWidth="1"/>
    <col min="2" max="2" width="39.25390625" style="9" customWidth="1"/>
    <col min="3" max="3" width="8.00390625" style="4" customWidth="1"/>
    <col min="4" max="4" width="7.25390625" style="9" customWidth="1"/>
    <col min="5" max="5" width="10.875" style="9" customWidth="1"/>
    <col min="6" max="6" width="9.75390625" style="9" customWidth="1"/>
    <col min="7" max="8" width="8.125" style="9" customWidth="1"/>
    <col min="9" max="10" width="11.00390625" style="9" customWidth="1"/>
    <col min="11" max="12" width="8.75390625" style="9" customWidth="1"/>
    <col min="13" max="13" width="10.00390625" style="9" customWidth="1"/>
    <col min="14" max="19" width="8.75390625" style="9" customWidth="1"/>
    <col min="20" max="16384" width="0.875" style="9" customWidth="1"/>
  </cols>
  <sheetData>
    <row r="1" spans="1:19" s="1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2" customFormat="1" ht="3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3" customFormat="1" ht="40.5" customHeight="1">
      <c r="A3" s="12"/>
      <c r="B3" s="114" t="s">
        <v>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s="3" customFormat="1" ht="15.75" customHeight="1">
      <c r="A4" s="12"/>
      <c r="B4" s="115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19" s="2" customFormat="1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4" customFormat="1" ht="12.75">
      <c r="A6" s="9"/>
      <c r="B6" s="9" t="s">
        <v>2</v>
      </c>
      <c r="C6" s="9" t="s">
        <v>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4" customFormat="1" ht="12.75">
      <c r="A7" s="9"/>
      <c r="B7" s="9"/>
      <c r="C7" s="9" t="s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4" customFormat="1" ht="12.75">
      <c r="A8" s="9"/>
      <c r="B8" s="9" t="s">
        <v>4</v>
      </c>
      <c r="C8" s="9" t="s">
        <v>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4" customFormat="1" ht="12.75">
      <c r="A9" s="9"/>
      <c r="B9" s="9" t="s">
        <v>6</v>
      </c>
      <c r="C9" s="9" t="s">
        <v>7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3" customFormat="1" ht="4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4" customFormat="1" ht="12.75">
      <c r="A11" s="9"/>
      <c r="B11" s="21" t="s">
        <v>134</v>
      </c>
      <c r="C11" s="15"/>
      <c r="D11" s="15"/>
      <c r="E11" s="15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4" customFormat="1" ht="12.75">
      <c r="A12" s="9"/>
      <c r="B12" s="21" t="s">
        <v>129</v>
      </c>
      <c r="C12" s="15"/>
      <c r="D12" s="15"/>
      <c r="E12" s="1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4" customFormat="1" ht="12.75">
      <c r="A13" s="9"/>
      <c r="B13" s="21" t="s">
        <v>130</v>
      </c>
      <c r="C13" s="15"/>
      <c r="D13" s="15"/>
      <c r="E13" s="1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4" customFormat="1" ht="12.75">
      <c r="A14" s="9"/>
      <c r="B14" s="21" t="s">
        <v>131</v>
      </c>
      <c r="C14" s="15"/>
      <c r="D14" s="15"/>
      <c r="E14" s="15"/>
      <c r="F14" s="9"/>
      <c r="G14" s="22"/>
      <c r="H14" s="22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4" customFormat="1" ht="12.75">
      <c r="A15" s="9"/>
      <c r="B15" s="21" t="s">
        <v>138</v>
      </c>
      <c r="C15" s="23"/>
      <c r="D15" s="23"/>
      <c r="E15" s="23"/>
      <c r="F15" s="24"/>
      <c r="G15" s="25"/>
      <c r="H15" s="22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4" customFormat="1" ht="12.75">
      <c r="A16" s="9"/>
      <c r="B16" s="9"/>
      <c r="C16" s="9"/>
      <c r="D16" s="9"/>
      <c r="E16" s="22"/>
      <c r="F16" s="9"/>
      <c r="G16" s="22"/>
      <c r="H16" s="2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5" customFormat="1" ht="9" customHeight="1">
      <c r="A17" s="97" t="s">
        <v>8</v>
      </c>
      <c r="B17" s="97"/>
      <c r="C17" s="97" t="s">
        <v>9</v>
      </c>
      <c r="D17" s="97" t="s">
        <v>10</v>
      </c>
      <c r="E17" s="116" t="s">
        <v>139</v>
      </c>
      <c r="F17" s="116" t="s">
        <v>11</v>
      </c>
      <c r="G17" s="116" t="s">
        <v>12</v>
      </c>
      <c r="H17" s="116"/>
      <c r="I17" s="116"/>
      <c r="J17" s="116"/>
      <c r="K17" s="116"/>
      <c r="L17" s="112" t="s">
        <v>13</v>
      </c>
      <c r="M17" s="112" t="s">
        <v>14</v>
      </c>
      <c r="N17" s="112" t="s">
        <v>15</v>
      </c>
      <c r="O17" s="112"/>
      <c r="P17" s="112"/>
      <c r="Q17" s="112"/>
      <c r="R17" s="112"/>
      <c r="S17" s="112" t="s">
        <v>16</v>
      </c>
    </row>
    <row r="18" spans="1:19" s="5" customFormat="1" ht="89.25" customHeight="1">
      <c r="A18" s="97"/>
      <c r="B18" s="97"/>
      <c r="C18" s="97"/>
      <c r="D18" s="97"/>
      <c r="E18" s="116"/>
      <c r="F18" s="116"/>
      <c r="G18" s="48" t="s">
        <v>17</v>
      </c>
      <c r="H18" s="48" t="s">
        <v>18</v>
      </c>
      <c r="I18" s="48" t="s">
        <v>19</v>
      </c>
      <c r="J18" s="48" t="s">
        <v>20</v>
      </c>
      <c r="K18" s="48" t="s">
        <v>21</v>
      </c>
      <c r="L18" s="112"/>
      <c r="M18" s="112"/>
      <c r="N18" s="49" t="s">
        <v>140</v>
      </c>
      <c r="O18" s="49" t="s">
        <v>22</v>
      </c>
      <c r="P18" s="49" t="s">
        <v>23</v>
      </c>
      <c r="Q18" s="47" t="s">
        <v>20</v>
      </c>
      <c r="R18" s="49" t="s">
        <v>24</v>
      </c>
      <c r="S18" s="112"/>
    </row>
    <row r="19" spans="1:19" s="6" customFormat="1" ht="11.25" customHeight="1">
      <c r="A19" s="113">
        <v>1</v>
      </c>
      <c r="B19" s="113"/>
      <c r="C19" s="50">
        <v>2</v>
      </c>
      <c r="D19" s="50">
        <v>3</v>
      </c>
      <c r="E19" s="51">
        <v>4</v>
      </c>
      <c r="F19" s="51">
        <v>5</v>
      </c>
      <c r="G19" s="51">
        <v>6</v>
      </c>
      <c r="H19" s="51">
        <v>7</v>
      </c>
      <c r="I19" s="52">
        <v>8</v>
      </c>
      <c r="J19" s="52">
        <v>9</v>
      </c>
      <c r="K19" s="51">
        <v>10</v>
      </c>
      <c r="L19" s="53">
        <v>11</v>
      </c>
      <c r="M19" s="53">
        <v>12</v>
      </c>
      <c r="N19" s="53">
        <v>13</v>
      </c>
      <c r="O19" s="53">
        <v>14</v>
      </c>
      <c r="P19" s="54">
        <v>15</v>
      </c>
      <c r="Q19" s="54">
        <v>16</v>
      </c>
      <c r="R19" s="53">
        <v>17</v>
      </c>
      <c r="S19" s="53">
        <v>18</v>
      </c>
    </row>
    <row r="20" spans="1:19" s="7" customFormat="1" ht="37.5" customHeight="1">
      <c r="A20" s="96" t="s">
        <v>25</v>
      </c>
      <c r="B20" s="96"/>
      <c r="C20" s="26" t="s">
        <v>26</v>
      </c>
      <c r="D20" s="27" t="s">
        <v>27</v>
      </c>
      <c r="E20" s="28">
        <f aca="true" t="shared" si="0" ref="E20:K20">E21+E29+E34+E42+E43+E44+E45+E47+E48+E49-E45</f>
        <v>46140</v>
      </c>
      <c r="F20" s="28">
        <f t="shared" si="0"/>
        <v>46140</v>
      </c>
      <c r="G20" s="28">
        <f t="shared" si="0"/>
        <v>43804</v>
      </c>
      <c r="H20" s="28">
        <f t="shared" si="0"/>
        <v>58</v>
      </c>
      <c r="I20" s="28">
        <f t="shared" si="0"/>
        <v>43862</v>
      </c>
      <c r="J20" s="28">
        <f t="shared" si="0"/>
        <v>0</v>
      </c>
      <c r="K20" s="28">
        <f t="shared" si="0"/>
        <v>2278</v>
      </c>
      <c r="L20" s="30">
        <f aca="true" t="shared" si="1" ref="L20:R20">L21+L29+L34+L42+L43+L44+L45+L47+L48+L49-L45</f>
        <v>38154</v>
      </c>
      <c r="M20" s="66">
        <f t="shared" si="1"/>
        <v>38154</v>
      </c>
      <c r="N20" s="66">
        <f t="shared" si="1"/>
        <v>35099</v>
      </c>
      <c r="O20" s="66">
        <f t="shared" si="1"/>
        <v>189</v>
      </c>
      <c r="P20" s="30">
        <f t="shared" si="1"/>
        <v>35288</v>
      </c>
      <c r="Q20" s="66">
        <f t="shared" si="1"/>
        <v>0</v>
      </c>
      <c r="R20" s="66">
        <f t="shared" si="1"/>
        <v>2866</v>
      </c>
      <c r="S20" s="31"/>
    </row>
    <row r="21" spans="1:19" s="7" customFormat="1" ht="12.75">
      <c r="A21" s="96" t="s">
        <v>28</v>
      </c>
      <c r="B21" s="96"/>
      <c r="C21" s="26" t="s">
        <v>26</v>
      </c>
      <c r="D21" s="27" t="s">
        <v>29</v>
      </c>
      <c r="E21" s="28">
        <f>E22+E23+E28</f>
        <v>8500</v>
      </c>
      <c r="F21" s="29">
        <f>E21</f>
        <v>8500</v>
      </c>
      <c r="G21" s="29">
        <f>G22+G23+G28</f>
        <v>8500</v>
      </c>
      <c r="H21" s="29">
        <f>H22+H23+H28</f>
        <v>0</v>
      </c>
      <c r="I21" s="28">
        <f>G21+H21</f>
        <v>8500</v>
      </c>
      <c r="J21" s="29">
        <f>J22+J23+J28</f>
        <v>0</v>
      </c>
      <c r="K21" s="29">
        <f>K22+K23+K28</f>
        <v>0</v>
      </c>
      <c r="L21" s="30">
        <f>L22+L23+L28</f>
        <v>2151</v>
      </c>
      <c r="M21" s="31">
        <f>L21</f>
        <v>2151</v>
      </c>
      <c r="N21" s="31">
        <f>N22+N23+N28</f>
        <v>1978</v>
      </c>
      <c r="O21" s="31">
        <f>O22+O23+O28</f>
        <v>35</v>
      </c>
      <c r="P21" s="30">
        <f>N21+O21</f>
        <v>2013</v>
      </c>
      <c r="Q21" s="31">
        <f>Q22+Q23+Q28</f>
        <v>0</v>
      </c>
      <c r="R21" s="31">
        <f>R22+R23+R28</f>
        <v>138</v>
      </c>
      <c r="S21" s="31"/>
    </row>
    <row r="22" spans="1:19" s="7" customFormat="1" ht="12.75">
      <c r="A22" s="96" t="s">
        <v>30</v>
      </c>
      <c r="B22" s="96"/>
      <c r="C22" s="26" t="s">
        <v>26</v>
      </c>
      <c r="D22" s="27" t="s">
        <v>31</v>
      </c>
      <c r="E22" s="28">
        <f>I22+K22</f>
        <v>845</v>
      </c>
      <c r="F22" s="29">
        <f aca="true" t="shared" si="2" ref="F22:F66">E22</f>
        <v>845</v>
      </c>
      <c r="G22" s="29">
        <v>845</v>
      </c>
      <c r="H22" s="29"/>
      <c r="I22" s="28">
        <f>G22+H22</f>
        <v>845</v>
      </c>
      <c r="J22" s="29"/>
      <c r="K22" s="29"/>
      <c r="L22" s="30">
        <f>P22+R22</f>
        <v>1135</v>
      </c>
      <c r="M22" s="31">
        <f aca="true" t="shared" si="3" ref="M22:M66">L22</f>
        <v>1135</v>
      </c>
      <c r="N22" s="31">
        <f>634+328</f>
        <v>962</v>
      </c>
      <c r="O22" s="31">
        <f>35</f>
        <v>35</v>
      </c>
      <c r="P22" s="30">
        <f>N22+O22</f>
        <v>997</v>
      </c>
      <c r="Q22" s="31"/>
      <c r="R22" s="31">
        <f>46+62+30</f>
        <v>138</v>
      </c>
      <c r="S22" s="31"/>
    </row>
    <row r="23" spans="1:19" s="7" customFormat="1" ht="47.25" customHeight="1">
      <c r="A23" s="96" t="s">
        <v>32</v>
      </c>
      <c r="B23" s="96"/>
      <c r="C23" s="26" t="s">
        <v>26</v>
      </c>
      <c r="D23" s="27" t="s">
        <v>33</v>
      </c>
      <c r="E23" s="28">
        <f aca="true" t="shared" si="4" ref="E23:E43">I23+K23</f>
        <v>7115</v>
      </c>
      <c r="F23" s="29">
        <f t="shared" si="2"/>
        <v>7115</v>
      </c>
      <c r="G23" s="29">
        <v>7115</v>
      </c>
      <c r="H23" s="29"/>
      <c r="I23" s="28">
        <f>G23+H23</f>
        <v>7115</v>
      </c>
      <c r="J23" s="29"/>
      <c r="K23" s="29"/>
      <c r="L23" s="30">
        <f aca="true" t="shared" si="5" ref="L23:L44">P23+R23</f>
        <v>815</v>
      </c>
      <c r="M23" s="31">
        <f t="shared" si="3"/>
        <v>815</v>
      </c>
      <c r="N23" s="31">
        <f>810+5</f>
        <v>815</v>
      </c>
      <c r="O23" s="31"/>
      <c r="P23" s="30">
        <f>N23+O23</f>
        <v>815</v>
      </c>
      <c r="Q23" s="31"/>
      <c r="R23" s="31"/>
      <c r="S23" s="31"/>
    </row>
    <row r="24" spans="1:19" s="7" customFormat="1" ht="12.75">
      <c r="A24" s="96" t="s">
        <v>34</v>
      </c>
      <c r="B24" s="96"/>
      <c r="C24" s="26" t="s">
        <v>26</v>
      </c>
      <c r="D24" s="27"/>
      <c r="E24" s="28">
        <f t="shared" si="4"/>
        <v>0</v>
      </c>
      <c r="F24" s="29">
        <f t="shared" si="2"/>
        <v>0</v>
      </c>
      <c r="G24" s="29"/>
      <c r="H24" s="29"/>
      <c r="I24" s="28"/>
      <c r="J24" s="29"/>
      <c r="K24" s="29"/>
      <c r="L24" s="30">
        <f t="shared" si="5"/>
        <v>0</v>
      </c>
      <c r="M24" s="31">
        <f t="shared" si="3"/>
        <v>0</v>
      </c>
      <c r="N24" s="31"/>
      <c r="O24" s="31"/>
      <c r="P24" s="30"/>
      <c r="Q24" s="31"/>
      <c r="R24" s="31"/>
      <c r="S24" s="31"/>
    </row>
    <row r="25" spans="1:19" s="7" customFormat="1" ht="12.75">
      <c r="A25" s="96" t="s">
        <v>35</v>
      </c>
      <c r="B25" s="96"/>
      <c r="C25" s="26" t="s">
        <v>26</v>
      </c>
      <c r="D25" s="27"/>
      <c r="E25" s="28">
        <f t="shared" si="4"/>
        <v>0</v>
      </c>
      <c r="F25" s="29">
        <f t="shared" si="2"/>
        <v>0</v>
      </c>
      <c r="G25" s="29"/>
      <c r="H25" s="29"/>
      <c r="I25" s="28"/>
      <c r="J25" s="29"/>
      <c r="K25" s="29"/>
      <c r="L25" s="30">
        <f t="shared" si="5"/>
        <v>0</v>
      </c>
      <c r="M25" s="31">
        <f t="shared" si="3"/>
        <v>0</v>
      </c>
      <c r="N25" s="31"/>
      <c r="O25" s="31"/>
      <c r="P25" s="30"/>
      <c r="Q25" s="31"/>
      <c r="R25" s="31"/>
      <c r="S25" s="31"/>
    </row>
    <row r="26" spans="1:19" s="7" customFormat="1" ht="12.75">
      <c r="A26" s="96" t="s">
        <v>36</v>
      </c>
      <c r="B26" s="96"/>
      <c r="C26" s="26" t="s">
        <v>26</v>
      </c>
      <c r="D26" s="27"/>
      <c r="E26" s="28">
        <f t="shared" si="4"/>
        <v>0</v>
      </c>
      <c r="F26" s="29">
        <f t="shared" si="2"/>
        <v>0</v>
      </c>
      <c r="G26" s="29"/>
      <c r="H26" s="29"/>
      <c r="I26" s="28"/>
      <c r="J26" s="29"/>
      <c r="K26" s="29"/>
      <c r="L26" s="30">
        <f t="shared" si="5"/>
        <v>0</v>
      </c>
      <c r="M26" s="31">
        <f t="shared" si="3"/>
        <v>0</v>
      </c>
      <c r="N26" s="31"/>
      <c r="O26" s="31"/>
      <c r="P26" s="30"/>
      <c r="Q26" s="31"/>
      <c r="R26" s="31"/>
      <c r="S26" s="31"/>
    </row>
    <row r="27" spans="1:19" s="7" customFormat="1" ht="12.75">
      <c r="A27" s="96" t="s">
        <v>37</v>
      </c>
      <c r="B27" s="96"/>
      <c r="C27" s="26" t="s">
        <v>26</v>
      </c>
      <c r="D27" s="27"/>
      <c r="E27" s="28">
        <f t="shared" si="4"/>
        <v>0</v>
      </c>
      <c r="F27" s="29">
        <f t="shared" si="2"/>
        <v>0</v>
      </c>
      <c r="G27" s="29"/>
      <c r="H27" s="29"/>
      <c r="I27" s="28"/>
      <c r="J27" s="29"/>
      <c r="K27" s="29"/>
      <c r="L27" s="30">
        <f t="shared" si="5"/>
        <v>0</v>
      </c>
      <c r="M27" s="31">
        <f t="shared" si="3"/>
        <v>0</v>
      </c>
      <c r="N27" s="31"/>
      <c r="O27" s="31"/>
      <c r="P27" s="30"/>
      <c r="Q27" s="31"/>
      <c r="R27" s="31"/>
      <c r="S27" s="31"/>
    </row>
    <row r="28" spans="1:19" s="7" customFormat="1" ht="26.25" customHeight="1">
      <c r="A28" s="96" t="s">
        <v>38</v>
      </c>
      <c r="B28" s="96"/>
      <c r="C28" s="26" t="s">
        <v>26</v>
      </c>
      <c r="D28" s="27" t="s">
        <v>39</v>
      </c>
      <c r="E28" s="28">
        <f t="shared" si="4"/>
        <v>540</v>
      </c>
      <c r="F28" s="29">
        <f t="shared" si="2"/>
        <v>540</v>
      </c>
      <c r="G28" s="29">
        <v>540</v>
      </c>
      <c r="H28" s="29"/>
      <c r="I28" s="28">
        <f>G28+H28</f>
        <v>540</v>
      </c>
      <c r="J28" s="29"/>
      <c r="K28" s="29"/>
      <c r="L28" s="30">
        <f t="shared" si="5"/>
        <v>201</v>
      </c>
      <c r="M28" s="31">
        <f t="shared" si="3"/>
        <v>201</v>
      </c>
      <c r="N28" s="31">
        <f>132+69</f>
        <v>201</v>
      </c>
      <c r="O28" s="31"/>
      <c r="P28" s="30">
        <f>N28+O28</f>
        <v>201</v>
      </c>
      <c r="Q28" s="31"/>
      <c r="R28" s="31"/>
      <c r="S28" s="31"/>
    </row>
    <row r="29" spans="1:19" s="7" customFormat="1" ht="33" customHeight="1">
      <c r="A29" s="96" t="s">
        <v>40</v>
      </c>
      <c r="B29" s="96"/>
      <c r="C29" s="26" t="s">
        <v>26</v>
      </c>
      <c r="D29" s="27" t="s">
        <v>41</v>
      </c>
      <c r="E29" s="28">
        <f t="shared" si="4"/>
        <v>41</v>
      </c>
      <c r="F29" s="29">
        <f t="shared" si="2"/>
        <v>41</v>
      </c>
      <c r="G29" s="29">
        <f>G30+G31+G32+G32+G33</f>
        <v>41</v>
      </c>
      <c r="H29" s="29">
        <f>H30+H31+H32+H33</f>
        <v>0</v>
      </c>
      <c r="I29" s="28">
        <f>G29+H29</f>
        <v>41</v>
      </c>
      <c r="J29" s="29">
        <f>J30+J31+J32+J33</f>
        <v>0</v>
      </c>
      <c r="K29" s="29">
        <f>K30+K31+K32+K33</f>
        <v>0</v>
      </c>
      <c r="L29" s="30">
        <f t="shared" si="5"/>
        <v>84</v>
      </c>
      <c r="M29" s="31">
        <f t="shared" si="3"/>
        <v>84</v>
      </c>
      <c r="N29" s="31">
        <f>N30+N31+N32+N33</f>
        <v>84</v>
      </c>
      <c r="O29" s="31">
        <f>O30+O31+O32+O33</f>
        <v>0</v>
      </c>
      <c r="P29" s="30">
        <f>N29+O29</f>
        <v>84</v>
      </c>
      <c r="Q29" s="31">
        <f>Q30+Q31+Q32+Q33</f>
        <v>0</v>
      </c>
      <c r="R29" s="31">
        <f>R30+R31+R32+R33</f>
        <v>0</v>
      </c>
      <c r="S29" s="31"/>
    </row>
    <row r="30" spans="1:19" s="7" customFormat="1" ht="12.75">
      <c r="A30" s="96" t="s">
        <v>42</v>
      </c>
      <c r="B30" s="96"/>
      <c r="C30" s="26" t="s">
        <v>26</v>
      </c>
      <c r="D30" s="27" t="s">
        <v>43</v>
      </c>
      <c r="E30" s="28">
        <f t="shared" si="4"/>
        <v>41</v>
      </c>
      <c r="F30" s="29">
        <f t="shared" si="2"/>
        <v>41</v>
      </c>
      <c r="G30" s="29">
        <v>41</v>
      </c>
      <c r="H30" s="29"/>
      <c r="I30" s="28">
        <f>G30+H30</f>
        <v>41</v>
      </c>
      <c r="J30" s="29"/>
      <c r="K30" s="29"/>
      <c r="L30" s="30">
        <f t="shared" si="5"/>
        <v>24</v>
      </c>
      <c r="M30" s="31">
        <f t="shared" si="3"/>
        <v>24</v>
      </c>
      <c r="N30" s="31">
        <f>11+13</f>
        <v>24</v>
      </c>
      <c r="O30" s="31"/>
      <c r="P30" s="30">
        <f>N30+O30</f>
        <v>24</v>
      </c>
      <c r="Q30" s="31"/>
      <c r="R30" s="31"/>
      <c r="S30" s="31"/>
    </row>
    <row r="31" spans="1:19" s="7" customFormat="1" ht="12.75">
      <c r="A31" s="96" t="s">
        <v>44</v>
      </c>
      <c r="B31" s="96"/>
      <c r="C31" s="26" t="s">
        <v>26</v>
      </c>
      <c r="D31" s="27" t="s">
        <v>45</v>
      </c>
      <c r="E31" s="28">
        <f t="shared" si="4"/>
        <v>0</v>
      </c>
      <c r="F31" s="29">
        <f t="shared" si="2"/>
        <v>0</v>
      </c>
      <c r="G31" s="29"/>
      <c r="H31" s="29"/>
      <c r="I31" s="28"/>
      <c r="J31" s="29"/>
      <c r="K31" s="29"/>
      <c r="L31" s="30">
        <f t="shared" si="5"/>
        <v>0</v>
      </c>
      <c r="M31" s="31">
        <f t="shared" si="3"/>
        <v>0</v>
      </c>
      <c r="N31" s="31"/>
      <c r="O31" s="31"/>
      <c r="P31" s="30"/>
      <c r="Q31" s="31"/>
      <c r="R31" s="31"/>
      <c r="S31" s="31"/>
    </row>
    <row r="32" spans="1:19" s="7" customFormat="1" ht="24.75" customHeight="1">
      <c r="A32" s="96" t="s">
        <v>46</v>
      </c>
      <c r="B32" s="96"/>
      <c r="C32" s="26" t="s">
        <v>26</v>
      </c>
      <c r="D32" s="27" t="s">
        <v>47</v>
      </c>
      <c r="E32" s="28">
        <f t="shared" si="4"/>
        <v>0</v>
      </c>
      <c r="F32" s="29">
        <f t="shared" si="2"/>
        <v>0</v>
      </c>
      <c r="G32" s="29"/>
      <c r="H32" s="32"/>
      <c r="I32" s="28"/>
      <c r="J32" s="29"/>
      <c r="K32" s="29"/>
      <c r="L32" s="30">
        <f t="shared" si="5"/>
        <v>0</v>
      </c>
      <c r="M32" s="31">
        <f t="shared" si="3"/>
        <v>0</v>
      </c>
      <c r="N32" s="31"/>
      <c r="O32" s="33"/>
      <c r="P32" s="30"/>
      <c r="Q32" s="31"/>
      <c r="R32" s="31"/>
      <c r="S32" s="31"/>
    </row>
    <row r="33" spans="1:19" s="7" customFormat="1" ht="30" customHeight="1">
      <c r="A33" s="96" t="s">
        <v>48</v>
      </c>
      <c r="B33" s="96"/>
      <c r="C33" s="26" t="s">
        <v>26</v>
      </c>
      <c r="D33" s="27" t="s">
        <v>49</v>
      </c>
      <c r="E33" s="28">
        <f t="shared" si="4"/>
        <v>0</v>
      </c>
      <c r="F33" s="29">
        <f t="shared" si="2"/>
        <v>0</v>
      </c>
      <c r="G33" s="29"/>
      <c r="H33" s="29"/>
      <c r="I33" s="28">
        <f>G33+H33</f>
        <v>0</v>
      </c>
      <c r="J33" s="29"/>
      <c r="K33" s="29"/>
      <c r="L33" s="30">
        <f t="shared" si="5"/>
        <v>60</v>
      </c>
      <c r="M33" s="31">
        <f t="shared" si="3"/>
        <v>60</v>
      </c>
      <c r="N33" s="31">
        <f>60</f>
        <v>60</v>
      </c>
      <c r="O33" s="31"/>
      <c r="P33" s="30">
        <f>N33+O33</f>
        <v>60</v>
      </c>
      <c r="Q33" s="31"/>
      <c r="R33" s="31"/>
      <c r="S33" s="31"/>
    </row>
    <row r="34" spans="1:19" s="7" customFormat="1" ht="12.75">
      <c r="A34" s="96" t="s">
        <v>50</v>
      </c>
      <c r="B34" s="96"/>
      <c r="C34" s="26" t="s">
        <v>26</v>
      </c>
      <c r="D34" s="27" t="s">
        <v>51</v>
      </c>
      <c r="E34" s="28">
        <f t="shared" si="4"/>
        <v>20856</v>
      </c>
      <c r="F34" s="29">
        <f t="shared" si="2"/>
        <v>20856</v>
      </c>
      <c r="G34" s="62">
        <f>G35+G36+G37</f>
        <v>19219</v>
      </c>
      <c r="H34" s="62">
        <f>H35+H36+H37</f>
        <v>35</v>
      </c>
      <c r="I34" s="63">
        <f>G34+H34</f>
        <v>19254</v>
      </c>
      <c r="J34" s="63"/>
      <c r="K34" s="62">
        <f>K35+K36+K37</f>
        <v>1602</v>
      </c>
      <c r="L34" s="30">
        <f t="shared" si="5"/>
        <v>19907</v>
      </c>
      <c r="M34" s="31">
        <f t="shared" si="3"/>
        <v>19907</v>
      </c>
      <c r="N34" s="31">
        <f>8771+8986</f>
        <v>17757</v>
      </c>
      <c r="O34" s="31">
        <f>11+90</f>
        <v>101</v>
      </c>
      <c r="P34" s="30">
        <f>N34+O34</f>
        <v>17858</v>
      </c>
      <c r="Q34" s="31"/>
      <c r="R34" s="31">
        <f>538+628+883</f>
        <v>2049</v>
      </c>
      <c r="S34" s="31"/>
    </row>
    <row r="35" spans="1:19" s="7" customFormat="1" ht="12.75">
      <c r="A35" s="96" t="s">
        <v>52</v>
      </c>
      <c r="B35" s="96"/>
      <c r="C35" s="26" t="s">
        <v>26</v>
      </c>
      <c r="D35" s="27"/>
      <c r="E35" s="28">
        <f t="shared" si="4"/>
        <v>4113</v>
      </c>
      <c r="F35" s="29">
        <f t="shared" si="2"/>
        <v>4113</v>
      </c>
      <c r="G35" s="29">
        <f>4106</f>
        <v>4106</v>
      </c>
      <c r="H35" s="29">
        <v>7</v>
      </c>
      <c r="I35" s="28">
        <f>G35+H35</f>
        <v>4113</v>
      </c>
      <c r="J35" s="29"/>
      <c r="K35" s="29"/>
      <c r="L35" s="30">
        <f t="shared" si="5"/>
        <v>3776</v>
      </c>
      <c r="M35" s="31">
        <f t="shared" si="3"/>
        <v>3776</v>
      </c>
      <c r="N35" s="31">
        <v>3759</v>
      </c>
      <c r="O35" s="31">
        <v>17</v>
      </c>
      <c r="P35" s="30">
        <f>N35+O35</f>
        <v>3776</v>
      </c>
      <c r="Q35" s="31"/>
      <c r="R35" s="31"/>
      <c r="S35" s="31"/>
    </row>
    <row r="36" spans="1:19" s="7" customFormat="1" ht="15" customHeight="1">
      <c r="A36" s="96" t="s">
        <v>135</v>
      </c>
      <c r="B36" s="96"/>
      <c r="C36" s="26" t="s">
        <v>26</v>
      </c>
      <c r="D36" s="27"/>
      <c r="E36" s="28">
        <f t="shared" si="4"/>
        <v>3476</v>
      </c>
      <c r="F36" s="29">
        <f t="shared" si="2"/>
        <v>3476</v>
      </c>
      <c r="G36" s="29">
        <f>3284</f>
        <v>3284</v>
      </c>
      <c r="H36" s="29">
        <f>7+5</f>
        <v>12</v>
      </c>
      <c r="I36" s="28">
        <f>G36+H36</f>
        <v>3296</v>
      </c>
      <c r="J36" s="29"/>
      <c r="K36" s="29">
        <f>180</f>
        <v>180</v>
      </c>
      <c r="L36" s="30">
        <f t="shared" si="5"/>
        <v>3628</v>
      </c>
      <c r="M36" s="31">
        <f t="shared" si="3"/>
        <v>3628</v>
      </c>
      <c r="N36" s="31">
        <v>3453</v>
      </c>
      <c r="O36" s="31">
        <v>12</v>
      </c>
      <c r="P36" s="30">
        <f>N36+O36</f>
        <v>3465</v>
      </c>
      <c r="Q36" s="31"/>
      <c r="R36" s="31">
        <v>163</v>
      </c>
      <c r="S36" s="31"/>
    </row>
    <row r="37" spans="1:19" s="7" customFormat="1" ht="12.75">
      <c r="A37" s="96" t="s">
        <v>53</v>
      </c>
      <c r="B37" s="96"/>
      <c r="C37" s="26" t="s">
        <v>26</v>
      </c>
      <c r="D37" s="27"/>
      <c r="E37" s="28">
        <f t="shared" si="4"/>
        <v>13267</v>
      </c>
      <c r="F37" s="29">
        <f t="shared" si="2"/>
        <v>13267</v>
      </c>
      <c r="G37" s="29">
        <f>10112+143+1574</f>
        <v>11829</v>
      </c>
      <c r="H37" s="29">
        <f>11+5</f>
        <v>16</v>
      </c>
      <c r="I37" s="28">
        <f>G37+H37</f>
        <v>11845</v>
      </c>
      <c r="J37" s="29"/>
      <c r="K37" s="29">
        <f>720+702</f>
        <v>1422</v>
      </c>
      <c r="L37" s="30">
        <f t="shared" si="5"/>
        <v>12503</v>
      </c>
      <c r="M37" s="31">
        <f t="shared" si="3"/>
        <v>12503</v>
      </c>
      <c r="N37" s="31">
        <f>N34-N35-N36</f>
        <v>10545</v>
      </c>
      <c r="O37" s="31">
        <f>101-17-12</f>
        <v>72</v>
      </c>
      <c r="P37" s="30">
        <f>N37+O37</f>
        <v>10617</v>
      </c>
      <c r="Q37" s="31"/>
      <c r="R37" s="31">
        <f>2049-163</f>
        <v>1886</v>
      </c>
      <c r="S37" s="31"/>
    </row>
    <row r="38" spans="1:19" s="7" customFormat="1" ht="28.5" customHeight="1">
      <c r="A38" s="96" t="s">
        <v>54</v>
      </c>
      <c r="B38" s="96"/>
      <c r="C38" s="26" t="s">
        <v>55</v>
      </c>
      <c r="D38" s="27"/>
      <c r="E38" s="28">
        <f t="shared" si="4"/>
        <v>152</v>
      </c>
      <c r="F38" s="29">
        <f t="shared" si="2"/>
        <v>152</v>
      </c>
      <c r="G38" s="29">
        <f>G39+G40+G41</f>
        <v>140</v>
      </c>
      <c r="H38" s="29">
        <f>H39+H40+H41</f>
        <v>0</v>
      </c>
      <c r="I38" s="28">
        <f>I39+I40+I41</f>
        <v>140</v>
      </c>
      <c r="J38" s="29"/>
      <c r="K38" s="29">
        <f>K39+K40+K41</f>
        <v>12</v>
      </c>
      <c r="L38" s="30">
        <f t="shared" si="5"/>
        <v>149</v>
      </c>
      <c r="M38" s="31">
        <f t="shared" si="3"/>
        <v>149</v>
      </c>
      <c r="N38" s="31">
        <f>N39+N40+N41</f>
        <v>135</v>
      </c>
      <c r="O38" s="31">
        <f>O39+O40+O41</f>
        <v>0</v>
      </c>
      <c r="P38" s="30">
        <f>P39+P40+P41</f>
        <v>135</v>
      </c>
      <c r="Q38" s="31"/>
      <c r="R38" s="31">
        <f>R39+R40+R41</f>
        <v>14</v>
      </c>
      <c r="S38" s="33"/>
    </row>
    <row r="39" spans="1:19" s="7" customFormat="1" ht="12.75">
      <c r="A39" s="96" t="s">
        <v>52</v>
      </c>
      <c r="B39" s="96"/>
      <c r="C39" s="26" t="s">
        <v>55</v>
      </c>
      <c r="D39" s="27"/>
      <c r="E39" s="28">
        <f t="shared" si="4"/>
        <v>22</v>
      </c>
      <c r="F39" s="29">
        <f t="shared" si="2"/>
        <v>22</v>
      </c>
      <c r="G39" s="29">
        <v>22</v>
      </c>
      <c r="H39" s="29"/>
      <c r="I39" s="28">
        <f aca="true" t="shared" si="6" ref="I39:I45">G39+H39</f>
        <v>22</v>
      </c>
      <c r="J39" s="29"/>
      <c r="K39" s="29"/>
      <c r="L39" s="30">
        <f t="shared" si="5"/>
        <v>22</v>
      </c>
      <c r="M39" s="31">
        <f t="shared" si="3"/>
        <v>22</v>
      </c>
      <c r="N39" s="31">
        <f>12+10</f>
        <v>22</v>
      </c>
      <c r="O39" s="31"/>
      <c r="P39" s="30">
        <f>N39+O39</f>
        <v>22</v>
      </c>
      <c r="Q39" s="31"/>
      <c r="R39" s="31"/>
      <c r="S39" s="31"/>
    </row>
    <row r="40" spans="1:19" s="7" customFormat="1" ht="13.5" customHeight="1">
      <c r="A40" s="96" t="s">
        <v>135</v>
      </c>
      <c r="B40" s="96"/>
      <c r="C40" s="26" t="s">
        <v>55</v>
      </c>
      <c r="D40" s="27"/>
      <c r="E40" s="28">
        <f t="shared" si="4"/>
        <v>21</v>
      </c>
      <c r="F40" s="29">
        <f t="shared" si="2"/>
        <v>21</v>
      </c>
      <c r="G40" s="29">
        <v>20</v>
      </c>
      <c r="H40" s="29"/>
      <c r="I40" s="28">
        <f t="shared" si="6"/>
        <v>20</v>
      </c>
      <c r="J40" s="32"/>
      <c r="K40" s="29">
        <v>1</v>
      </c>
      <c r="L40" s="30">
        <f t="shared" si="5"/>
        <v>20</v>
      </c>
      <c r="M40" s="31">
        <f t="shared" si="3"/>
        <v>20</v>
      </c>
      <c r="N40" s="31">
        <f>7+12</f>
        <v>19</v>
      </c>
      <c r="O40" s="31"/>
      <c r="P40" s="30">
        <f>N40+O40</f>
        <v>19</v>
      </c>
      <c r="Q40" s="31"/>
      <c r="R40" s="31">
        <v>1</v>
      </c>
      <c r="S40" s="33"/>
    </row>
    <row r="41" spans="1:19" s="7" customFormat="1" ht="12.75">
      <c r="A41" s="96" t="s">
        <v>53</v>
      </c>
      <c r="B41" s="96"/>
      <c r="C41" s="26" t="s">
        <v>55</v>
      </c>
      <c r="D41" s="27"/>
      <c r="E41" s="28">
        <f t="shared" si="4"/>
        <v>109</v>
      </c>
      <c r="F41" s="29">
        <f t="shared" si="2"/>
        <v>109</v>
      </c>
      <c r="G41" s="29">
        <v>98</v>
      </c>
      <c r="H41" s="32"/>
      <c r="I41" s="28">
        <f t="shared" si="6"/>
        <v>98</v>
      </c>
      <c r="J41" s="32"/>
      <c r="K41" s="29">
        <v>11</v>
      </c>
      <c r="L41" s="30">
        <f t="shared" si="5"/>
        <v>107</v>
      </c>
      <c r="M41" s="31">
        <f t="shared" si="3"/>
        <v>107</v>
      </c>
      <c r="N41" s="31">
        <f>54+53-13</f>
        <v>94</v>
      </c>
      <c r="O41" s="31"/>
      <c r="P41" s="30">
        <f>N41+O41</f>
        <v>94</v>
      </c>
      <c r="Q41" s="31"/>
      <c r="R41" s="31">
        <f>6+7</f>
        <v>13</v>
      </c>
      <c r="S41" s="33"/>
    </row>
    <row r="42" spans="1:19" s="7" customFormat="1" ht="75" customHeight="1">
      <c r="A42" s="96" t="s">
        <v>56</v>
      </c>
      <c r="B42" s="96"/>
      <c r="C42" s="26" t="s">
        <v>26</v>
      </c>
      <c r="D42" s="27" t="s">
        <v>57</v>
      </c>
      <c r="E42" s="28">
        <f t="shared" si="4"/>
        <v>6218</v>
      </c>
      <c r="F42" s="29">
        <f t="shared" si="2"/>
        <v>6218</v>
      </c>
      <c r="G42" s="29">
        <f>6218-11-478</f>
        <v>5729</v>
      </c>
      <c r="H42" s="29">
        <v>11</v>
      </c>
      <c r="I42" s="28">
        <f t="shared" si="6"/>
        <v>5740</v>
      </c>
      <c r="J42" s="29"/>
      <c r="K42" s="29">
        <f>269+209</f>
        <v>478</v>
      </c>
      <c r="L42" s="30">
        <f t="shared" si="5"/>
        <v>6132</v>
      </c>
      <c r="M42" s="31">
        <f t="shared" si="3"/>
        <v>6132</v>
      </c>
      <c r="N42" s="31">
        <f>2695+2775</f>
        <v>5470</v>
      </c>
      <c r="O42" s="31">
        <f>4+27</f>
        <v>31</v>
      </c>
      <c r="P42" s="30">
        <f>N42+O42</f>
        <v>5501</v>
      </c>
      <c r="Q42" s="31"/>
      <c r="R42" s="31">
        <f>167+190+274</f>
        <v>631</v>
      </c>
      <c r="S42" s="31"/>
    </row>
    <row r="43" spans="1:19" s="7" customFormat="1" ht="12.75">
      <c r="A43" s="96" t="s">
        <v>58</v>
      </c>
      <c r="B43" s="96"/>
      <c r="C43" s="26" t="s">
        <v>26</v>
      </c>
      <c r="D43" s="27" t="s">
        <v>59</v>
      </c>
      <c r="E43" s="28">
        <f t="shared" si="4"/>
        <v>127</v>
      </c>
      <c r="F43" s="29">
        <f t="shared" si="2"/>
        <v>127</v>
      </c>
      <c r="G43" s="29">
        <v>127</v>
      </c>
      <c r="H43" s="29"/>
      <c r="I43" s="28">
        <f t="shared" si="6"/>
        <v>127</v>
      </c>
      <c r="J43" s="29"/>
      <c r="K43" s="29"/>
      <c r="L43" s="30">
        <f t="shared" si="5"/>
        <v>83</v>
      </c>
      <c r="M43" s="31">
        <f t="shared" si="3"/>
        <v>83</v>
      </c>
      <c r="N43" s="31">
        <f>45+38</f>
        <v>83</v>
      </c>
      <c r="O43" s="31"/>
      <c r="P43" s="30">
        <f>N43+O43</f>
        <v>83</v>
      </c>
      <c r="Q43" s="31"/>
      <c r="R43" s="31"/>
      <c r="S43" s="31"/>
    </row>
    <row r="44" spans="1:19" s="7" customFormat="1" ht="12.75">
      <c r="A44" s="96" t="s">
        <v>60</v>
      </c>
      <c r="B44" s="96"/>
      <c r="C44" s="26" t="s">
        <v>26</v>
      </c>
      <c r="D44" s="27" t="s">
        <v>61</v>
      </c>
      <c r="E44" s="28">
        <f>E45</f>
        <v>7419</v>
      </c>
      <c r="F44" s="29">
        <f t="shared" si="2"/>
        <v>7419</v>
      </c>
      <c r="G44" s="29">
        <f>G45</f>
        <v>7419</v>
      </c>
      <c r="H44" s="29"/>
      <c r="I44" s="28">
        <f t="shared" si="6"/>
        <v>7419</v>
      </c>
      <c r="J44" s="29"/>
      <c r="K44" s="29"/>
      <c r="L44" s="36">
        <f t="shared" si="5"/>
        <v>7360</v>
      </c>
      <c r="M44" s="37">
        <f>M45</f>
        <v>7360</v>
      </c>
      <c r="N44" s="37">
        <f>N45</f>
        <v>7360</v>
      </c>
      <c r="O44" s="37"/>
      <c r="P44" s="36">
        <f>P45</f>
        <v>7360</v>
      </c>
      <c r="Q44" s="37"/>
      <c r="R44" s="37"/>
      <c r="S44" s="37"/>
    </row>
    <row r="45" spans="1:19" s="7" customFormat="1" ht="12.75">
      <c r="A45" s="96" t="s">
        <v>62</v>
      </c>
      <c r="B45" s="96"/>
      <c r="C45" s="26" t="s">
        <v>26</v>
      </c>
      <c r="D45" s="27" t="s">
        <v>63</v>
      </c>
      <c r="E45" s="64">
        <f>I45+K45</f>
        <v>7419</v>
      </c>
      <c r="F45" s="64">
        <f t="shared" si="2"/>
        <v>7419</v>
      </c>
      <c r="G45" s="64">
        <f>7361+58</f>
        <v>7419</v>
      </c>
      <c r="H45" s="64"/>
      <c r="I45" s="64">
        <f t="shared" si="6"/>
        <v>7419</v>
      </c>
      <c r="J45" s="64"/>
      <c r="K45" s="64"/>
      <c r="L45" s="30">
        <f>P45+R45</f>
        <v>7360</v>
      </c>
      <c r="M45" s="31">
        <f t="shared" si="3"/>
        <v>7360</v>
      </c>
      <c r="N45" s="31">
        <f>4416+2894+50</f>
        <v>7360</v>
      </c>
      <c r="O45" s="31"/>
      <c r="P45" s="30">
        <f>N45+O45</f>
        <v>7360</v>
      </c>
      <c r="Q45" s="31"/>
      <c r="R45" s="31"/>
      <c r="S45" s="31"/>
    </row>
    <row r="46" spans="1:19" s="7" customFormat="1" ht="12.75">
      <c r="A46" s="96" t="s">
        <v>64</v>
      </c>
      <c r="B46" s="96"/>
      <c r="C46" s="26" t="s">
        <v>26</v>
      </c>
      <c r="D46" s="27" t="s">
        <v>65</v>
      </c>
      <c r="E46" s="28"/>
      <c r="F46" s="29">
        <f t="shared" si="2"/>
        <v>0</v>
      </c>
      <c r="G46" s="29"/>
      <c r="H46" s="29"/>
      <c r="I46" s="28"/>
      <c r="J46" s="29"/>
      <c r="K46" s="29"/>
      <c r="L46" s="30"/>
      <c r="M46" s="31">
        <f t="shared" si="3"/>
        <v>0</v>
      </c>
      <c r="N46" s="31"/>
      <c r="O46" s="31"/>
      <c r="P46" s="30"/>
      <c r="Q46" s="31"/>
      <c r="R46" s="31"/>
      <c r="S46" s="31"/>
    </row>
    <row r="47" spans="1:19" s="7" customFormat="1" ht="27" customHeight="1">
      <c r="A47" s="96" t="s">
        <v>66</v>
      </c>
      <c r="B47" s="96"/>
      <c r="C47" s="26" t="s">
        <v>26</v>
      </c>
      <c r="D47" s="27" t="s">
        <v>67</v>
      </c>
      <c r="E47" s="28">
        <f>I47+K47</f>
        <v>28</v>
      </c>
      <c r="F47" s="29">
        <f t="shared" si="2"/>
        <v>28</v>
      </c>
      <c r="G47" s="29">
        <v>28</v>
      </c>
      <c r="H47" s="29"/>
      <c r="I47" s="28">
        <f>G47+H47</f>
        <v>28</v>
      </c>
      <c r="J47" s="29"/>
      <c r="K47" s="29"/>
      <c r="L47" s="30">
        <f>P47+R47</f>
        <v>5</v>
      </c>
      <c r="M47" s="31">
        <f t="shared" si="3"/>
        <v>5</v>
      </c>
      <c r="N47" s="31">
        <f>3+2</f>
        <v>5</v>
      </c>
      <c r="O47" s="31"/>
      <c r="P47" s="30">
        <f>N47+O47</f>
        <v>5</v>
      </c>
      <c r="Q47" s="31"/>
      <c r="R47" s="31"/>
      <c r="S47" s="31"/>
    </row>
    <row r="48" spans="1:19" s="7" customFormat="1" ht="39.75" customHeight="1">
      <c r="A48" s="96" t="s">
        <v>68</v>
      </c>
      <c r="B48" s="96"/>
      <c r="C48" s="26" t="s">
        <v>26</v>
      </c>
      <c r="D48" s="27" t="s">
        <v>69</v>
      </c>
      <c r="E48" s="28"/>
      <c r="F48" s="29">
        <f t="shared" si="2"/>
        <v>0</v>
      </c>
      <c r="G48" s="29"/>
      <c r="H48" s="29"/>
      <c r="I48" s="28"/>
      <c r="J48" s="29"/>
      <c r="K48" s="29"/>
      <c r="L48" s="30"/>
      <c r="M48" s="31">
        <f t="shared" si="3"/>
        <v>0</v>
      </c>
      <c r="N48" s="31"/>
      <c r="O48" s="31"/>
      <c r="P48" s="30"/>
      <c r="Q48" s="31"/>
      <c r="R48" s="31"/>
      <c r="S48" s="31"/>
    </row>
    <row r="49" spans="1:19" s="7" customFormat="1" ht="12.75">
      <c r="A49" s="96" t="s">
        <v>70</v>
      </c>
      <c r="B49" s="96"/>
      <c r="C49" s="26" t="s">
        <v>26</v>
      </c>
      <c r="D49" s="27" t="s">
        <v>71</v>
      </c>
      <c r="E49" s="28">
        <f>I49+K49</f>
        <v>2951</v>
      </c>
      <c r="F49" s="29">
        <f t="shared" si="2"/>
        <v>2951</v>
      </c>
      <c r="G49" s="29">
        <f>43520-41005-58+(308-24)</f>
        <v>2741</v>
      </c>
      <c r="H49" s="29">
        <f>58-46</f>
        <v>12</v>
      </c>
      <c r="I49" s="28">
        <f>G49+H49</f>
        <v>2753</v>
      </c>
      <c r="J49" s="29"/>
      <c r="K49" s="29">
        <f>1026+1248-2080+4</f>
        <v>198</v>
      </c>
      <c r="L49" s="30">
        <f>P49+R49</f>
        <v>2432</v>
      </c>
      <c r="M49" s="31">
        <f t="shared" si="3"/>
        <v>2432</v>
      </c>
      <c r="N49" s="31">
        <f>35046-29793-2894-50+53</f>
        <v>2362</v>
      </c>
      <c r="O49" s="31">
        <f>189-167</f>
        <v>22</v>
      </c>
      <c r="P49" s="30">
        <f>N49+O49</f>
        <v>2384</v>
      </c>
      <c r="Q49" s="31"/>
      <c r="R49" s="31">
        <f>1647+1219-2818</f>
        <v>48</v>
      </c>
      <c r="S49" s="31"/>
    </row>
    <row r="50" spans="1:19" s="7" customFormat="1" ht="40.5" customHeight="1">
      <c r="A50" s="111" t="s">
        <v>72</v>
      </c>
      <c r="B50" s="111"/>
      <c r="C50" s="34" t="s">
        <v>26</v>
      </c>
      <c r="D50" s="35" t="s">
        <v>73</v>
      </c>
      <c r="E50" s="28">
        <f>SUM(E51:E56)</f>
        <v>24</v>
      </c>
      <c r="F50" s="28">
        <f t="shared" si="2"/>
        <v>24</v>
      </c>
      <c r="G50" s="28">
        <f>G51+G52+G53+G54+G55+G56</f>
        <v>24</v>
      </c>
      <c r="H50" s="28">
        <f>H51+H52+H53+H54+H55+H56</f>
        <v>0</v>
      </c>
      <c r="I50" s="28">
        <f>SUM(I51:I56)</f>
        <v>24</v>
      </c>
      <c r="J50" s="28"/>
      <c r="K50" s="28">
        <f>K51+K52+K53+K54+K55+K56</f>
        <v>0</v>
      </c>
      <c r="L50" s="36">
        <f>SUM(L51:L56)</f>
        <v>13</v>
      </c>
      <c r="M50" s="37">
        <f t="shared" si="3"/>
        <v>13</v>
      </c>
      <c r="N50" s="37">
        <f>N51+N52+N53+N54+N55+N56</f>
        <v>13</v>
      </c>
      <c r="O50" s="37">
        <f>O51+O52+O53+O54+O55+O56</f>
        <v>0</v>
      </c>
      <c r="P50" s="36">
        <f>SUM(P51:P56)</f>
        <v>13</v>
      </c>
      <c r="Q50" s="37"/>
      <c r="R50" s="37">
        <f>R51+R52+R53+R54+R55+R56</f>
        <v>0</v>
      </c>
      <c r="S50" s="37"/>
    </row>
    <row r="51" spans="1:19" s="7" customFormat="1" ht="12.75">
      <c r="A51" s="96" t="s">
        <v>74</v>
      </c>
      <c r="B51" s="96"/>
      <c r="C51" s="26" t="s">
        <v>26</v>
      </c>
      <c r="D51" s="27" t="s">
        <v>75</v>
      </c>
      <c r="E51" s="28"/>
      <c r="F51" s="29">
        <f t="shared" si="2"/>
        <v>0</v>
      </c>
      <c r="G51" s="29"/>
      <c r="H51" s="29"/>
      <c r="I51" s="28"/>
      <c r="J51" s="29"/>
      <c r="K51" s="29"/>
      <c r="L51" s="30"/>
      <c r="M51" s="31">
        <f t="shared" si="3"/>
        <v>0</v>
      </c>
      <c r="N51" s="31"/>
      <c r="O51" s="31"/>
      <c r="P51" s="30"/>
      <c r="Q51" s="31"/>
      <c r="R51" s="31"/>
      <c r="S51" s="31"/>
    </row>
    <row r="52" spans="1:19" s="7" customFormat="1" ht="12.75">
      <c r="A52" s="96" t="s">
        <v>76</v>
      </c>
      <c r="B52" s="96"/>
      <c r="C52" s="26" t="s">
        <v>26</v>
      </c>
      <c r="D52" s="27" t="s">
        <v>77</v>
      </c>
      <c r="E52" s="28"/>
      <c r="F52" s="29">
        <f t="shared" si="2"/>
        <v>0</v>
      </c>
      <c r="G52" s="29"/>
      <c r="H52" s="29"/>
      <c r="I52" s="28"/>
      <c r="J52" s="29"/>
      <c r="K52" s="29"/>
      <c r="L52" s="30"/>
      <c r="M52" s="31">
        <f t="shared" si="3"/>
        <v>0</v>
      </c>
      <c r="N52" s="31"/>
      <c r="O52" s="31"/>
      <c r="P52" s="30"/>
      <c r="Q52" s="31"/>
      <c r="R52" s="31"/>
      <c r="S52" s="31"/>
    </row>
    <row r="53" spans="1:19" s="7" customFormat="1" ht="12.75">
      <c r="A53" s="96" t="s">
        <v>78</v>
      </c>
      <c r="B53" s="96"/>
      <c r="C53" s="26" t="s">
        <v>26</v>
      </c>
      <c r="D53" s="27" t="s">
        <v>79</v>
      </c>
      <c r="E53" s="28"/>
      <c r="F53" s="29">
        <f t="shared" si="2"/>
        <v>0</v>
      </c>
      <c r="G53" s="29"/>
      <c r="H53" s="29"/>
      <c r="I53" s="28"/>
      <c r="J53" s="29"/>
      <c r="K53" s="29"/>
      <c r="L53" s="30"/>
      <c r="M53" s="31">
        <f t="shared" si="3"/>
        <v>0</v>
      </c>
      <c r="N53" s="31"/>
      <c r="O53" s="31"/>
      <c r="P53" s="30"/>
      <c r="Q53" s="31"/>
      <c r="R53" s="31"/>
      <c r="S53" s="31"/>
    </row>
    <row r="54" spans="1:19" s="7" customFormat="1" ht="12.75">
      <c r="A54" s="96" t="s">
        <v>80</v>
      </c>
      <c r="B54" s="96"/>
      <c r="C54" s="26" t="s">
        <v>26</v>
      </c>
      <c r="D54" s="27" t="s">
        <v>81</v>
      </c>
      <c r="E54" s="28">
        <f>I54+K54</f>
        <v>24</v>
      </c>
      <c r="F54" s="29">
        <f>E54</f>
        <v>24</v>
      </c>
      <c r="G54" s="29">
        <v>24</v>
      </c>
      <c r="H54" s="29"/>
      <c r="I54" s="28">
        <f>G54+H54</f>
        <v>24</v>
      </c>
      <c r="J54" s="29"/>
      <c r="K54" s="29"/>
      <c r="L54" s="30">
        <f>P54+R54</f>
        <v>13</v>
      </c>
      <c r="M54" s="31">
        <f t="shared" si="3"/>
        <v>13</v>
      </c>
      <c r="N54" s="31">
        <v>13</v>
      </c>
      <c r="O54" s="31"/>
      <c r="P54" s="30">
        <f>N54+O54</f>
        <v>13</v>
      </c>
      <c r="Q54" s="31"/>
      <c r="R54" s="31"/>
      <c r="S54" s="31"/>
    </row>
    <row r="55" spans="1:19" s="7" customFormat="1" ht="12.75">
      <c r="A55" s="96" t="s">
        <v>82</v>
      </c>
      <c r="B55" s="96"/>
      <c r="C55" s="26" t="s">
        <v>26</v>
      </c>
      <c r="D55" s="27" t="s">
        <v>83</v>
      </c>
      <c r="E55" s="28"/>
      <c r="F55" s="29">
        <f t="shared" si="2"/>
        <v>0</v>
      </c>
      <c r="G55" s="29"/>
      <c r="H55" s="29"/>
      <c r="I55" s="28"/>
      <c r="J55" s="29"/>
      <c r="K55" s="29"/>
      <c r="L55" s="30"/>
      <c r="M55" s="31">
        <f t="shared" si="3"/>
        <v>0</v>
      </c>
      <c r="N55" s="31"/>
      <c r="O55" s="31"/>
      <c r="P55" s="30"/>
      <c r="Q55" s="31"/>
      <c r="R55" s="31"/>
      <c r="S55" s="31"/>
    </row>
    <row r="56" spans="1:19" s="7" customFormat="1" ht="12.75">
      <c r="A56" s="96" t="s">
        <v>84</v>
      </c>
      <c r="B56" s="96"/>
      <c r="C56" s="26" t="s">
        <v>26</v>
      </c>
      <c r="D56" s="27" t="s">
        <v>85</v>
      </c>
      <c r="E56" s="28"/>
      <c r="F56" s="29">
        <f t="shared" si="2"/>
        <v>0</v>
      </c>
      <c r="G56" s="29"/>
      <c r="H56" s="29"/>
      <c r="I56" s="28"/>
      <c r="J56" s="29"/>
      <c r="K56" s="29"/>
      <c r="L56" s="30"/>
      <c r="M56" s="31">
        <f t="shared" si="3"/>
        <v>0</v>
      </c>
      <c r="N56" s="31"/>
      <c r="O56" s="31"/>
      <c r="P56" s="30"/>
      <c r="Q56" s="31"/>
      <c r="R56" s="31"/>
      <c r="S56" s="31"/>
    </row>
    <row r="57" spans="1:19" s="8" customFormat="1" ht="14.25" customHeight="1">
      <c r="A57" s="109" t="s">
        <v>86</v>
      </c>
      <c r="B57" s="110"/>
      <c r="C57" s="38"/>
      <c r="D57" s="38"/>
      <c r="E57" s="39"/>
      <c r="F57" s="29">
        <f t="shared" si="2"/>
        <v>0</v>
      </c>
      <c r="G57" s="40"/>
      <c r="H57" s="40"/>
      <c r="I57" s="39"/>
      <c r="J57" s="40"/>
      <c r="K57" s="40"/>
      <c r="L57" s="41"/>
      <c r="M57" s="31">
        <f t="shared" si="3"/>
        <v>0</v>
      </c>
      <c r="N57" s="38"/>
      <c r="O57" s="38"/>
      <c r="P57" s="41"/>
      <c r="Q57" s="38"/>
      <c r="R57" s="38"/>
      <c r="S57" s="38"/>
    </row>
    <row r="58" spans="1:19" s="7" customFormat="1" ht="12.75">
      <c r="A58" s="96" t="s">
        <v>87</v>
      </c>
      <c r="B58" s="96"/>
      <c r="C58" s="26" t="s">
        <v>26</v>
      </c>
      <c r="D58" s="27" t="s">
        <v>88</v>
      </c>
      <c r="E58" s="28">
        <f aca="true" t="shared" si="7" ref="E58:E66">I58+K58</f>
        <v>28172</v>
      </c>
      <c r="F58" s="29">
        <f t="shared" si="2"/>
        <v>28172</v>
      </c>
      <c r="G58" s="29">
        <f>G20-G59</f>
        <v>26584</v>
      </c>
      <c r="H58" s="29">
        <f>H20-H59</f>
        <v>13</v>
      </c>
      <c r="I58" s="28">
        <f aca="true" t="shared" si="8" ref="I58:I66">G58+H58</f>
        <v>26597</v>
      </c>
      <c r="J58" s="29"/>
      <c r="K58" s="29">
        <f>K20-K59</f>
        <v>1575</v>
      </c>
      <c r="L58" s="30">
        <f aca="true" t="shared" si="9" ref="L58:L65">P58+R58</f>
        <v>20494</v>
      </c>
      <c r="M58" s="31">
        <f t="shared" si="3"/>
        <v>20494</v>
      </c>
      <c r="N58" s="31">
        <f>N20-N59</f>
        <v>18395</v>
      </c>
      <c r="O58" s="31">
        <f>O20-O59</f>
        <v>124</v>
      </c>
      <c r="P58" s="30">
        <f aca="true" t="shared" si="10" ref="P58:P65">N58+O58</f>
        <v>18519</v>
      </c>
      <c r="Q58" s="31"/>
      <c r="R58" s="31">
        <f>R20-R59</f>
        <v>1975</v>
      </c>
      <c r="S58" s="31"/>
    </row>
    <row r="59" spans="1:19" s="7" customFormat="1" ht="12.75">
      <c r="A59" s="96" t="s">
        <v>89</v>
      </c>
      <c r="B59" s="96"/>
      <c r="C59" s="26" t="s">
        <v>26</v>
      </c>
      <c r="D59" s="27" t="s">
        <v>90</v>
      </c>
      <c r="E59" s="28">
        <f t="shared" si="7"/>
        <v>17968</v>
      </c>
      <c r="F59" s="29">
        <f t="shared" si="2"/>
        <v>17968</v>
      </c>
      <c r="G59" s="29">
        <f>17220</f>
        <v>17220</v>
      </c>
      <c r="H59" s="29">
        <f>24+14+7</f>
        <v>45</v>
      </c>
      <c r="I59" s="28">
        <f t="shared" si="8"/>
        <v>17265</v>
      </c>
      <c r="J59" s="29"/>
      <c r="K59" s="29">
        <f>17968-17265</f>
        <v>703</v>
      </c>
      <c r="L59" s="30">
        <f t="shared" si="9"/>
        <v>17660</v>
      </c>
      <c r="M59" s="31">
        <f t="shared" si="3"/>
        <v>17660</v>
      </c>
      <c r="N59" s="31">
        <f>3928+3233+5403+4140</f>
        <v>16704</v>
      </c>
      <c r="O59" s="31">
        <f>23+2+21+19</f>
        <v>65</v>
      </c>
      <c r="P59" s="30">
        <f t="shared" si="10"/>
        <v>16769</v>
      </c>
      <c r="Q59" s="31"/>
      <c r="R59" s="31">
        <f>291+29+261+298+12</f>
        <v>891</v>
      </c>
      <c r="S59" s="31"/>
    </row>
    <row r="60" spans="1:19" s="7" customFormat="1" ht="51.75" customHeight="1">
      <c r="A60" s="108" t="s">
        <v>91</v>
      </c>
      <c r="B60" s="108"/>
      <c r="C60" s="26" t="s">
        <v>26</v>
      </c>
      <c r="D60" s="67" t="s">
        <v>92</v>
      </c>
      <c r="E60" s="63">
        <f t="shared" si="7"/>
        <v>214</v>
      </c>
      <c r="F60" s="62">
        <f t="shared" si="2"/>
        <v>214</v>
      </c>
      <c r="G60" s="62">
        <v>214</v>
      </c>
      <c r="H60" s="62"/>
      <c r="I60" s="63">
        <f t="shared" si="8"/>
        <v>214</v>
      </c>
      <c r="J60" s="65"/>
      <c r="K60" s="65"/>
      <c r="L60" s="30">
        <f t="shared" si="9"/>
        <v>0</v>
      </c>
      <c r="M60" s="31">
        <f t="shared" si="3"/>
        <v>0</v>
      </c>
      <c r="N60" s="31"/>
      <c r="O60" s="31"/>
      <c r="P60" s="30">
        <f t="shared" si="10"/>
        <v>0</v>
      </c>
      <c r="Q60" s="31"/>
      <c r="R60" s="31"/>
      <c r="S60" s="31"/>
    </row>
    <row r="61" spans="1:19" s="7" customFormat="1" ht="34.5" customHeight="1">
      <c r="A61" s="96" t="s">
        <v>93</v>
      </c>
      <c r="B61" s="96"/>
      <c r="C61" s="26" t="s">
        <v>26</v>
      </c>
      <c r="D61" s="27" t="s">
        <v>94</v>
      </c>
      <c r="E61" s="28">
        <f t="shared" si="7"/>
        <v>2334</v>
      </c>
      <c r="F61" s="29">
        <f t="shared" si="2"/>
        <v>2334</v>
      </c>
      <c r="G61" s="29">
        <f>G62+G63+G64+G65</f>
        <v>2334</v>
      </c>
      <c r="H61" s="29"/>
      <c r="I61" s="28">
        <f t="shared" si="8"/>
        <v>2334</v>
      </c>
      <c r="J61" s="29"/>
      <c r="K61" s="29"/>
      <c r="L61" s="30">
        <f t="shared" si="9"/>
        <v>2529</v>
      </c>
      <c r="M61" s="31">
        <f t="shared" si="3"/>
        <v>2529</v>
      </c>
      <c r="N61" s="31">
        <f>N62+N63+N64+N65</f>
        <v>2529</v>
      </c>
      <c r="O61" s="31"/>
      <c r="P61" s="30">
        <f t="shared" si="10"/>
        <v>2529</v>
      </c>
      <c r="Q61" s="31"/>
      <c r="R61" s="31"/>
      <c r="S61" s="31"/>
    </row>
    <row r="62" spans="1:19" s="7" customFormat="1" ht="12" customHeight="1">
      <c r="A62" s="96" t="s">
        <v>95</v>
      </c>
      <c r="B62" s="96"/>
      <c r="C62" s="26" t="s">
        <v>26</v>
      </c>
      <c r="D62" s="27"/>
      <c r="E62" s="28">
        <f t="shared" si="7"/>
        <v>68</v>
      </c>
      <c r="F62" s="29">
        <f t="shared" si="2"/>
        <v>68</v>
      </c>
      <c r="G62" s="28">
        <f>8+60</f>
        <v>68</v>
      </c>
      <c r="H62" s="29"/>
      <c r="I62" s="28">
        <f t="shared" si="8"/>
        <v>68</v>
      </c>
      <c r="J62" s="29"/>
      <c r="K62" s="29"/>
      <c r="L62" s="30">
        <f t="shared" si="9"/>
        <v>21</v>
      </c>
      <c r="M62" s="31">
        <f t="shared" si="3"/>
        <v>21</v>
      </c>
      <c r="N62" s="31">
        <v>21</v>
      </c>
      <c r="O62" s="31"/>
      <c r="P62" s="30">
        <f t="shared" si="10"/>
        <v>21</v>
      </c>
      <c r="Q62" s="31"/>
      <c r="R62" s="31"/>
      <c r="S62" s="31"/>
    </row>
    <row r="63" spans="1:19" s="7" customFormat="1" ht="12.75">
      <c r="A63" s="96" t="s">
        <v>96</v>
      </c>
      <c r="B63" s="96"/>
      <c r="C63" s="26" t="s">
        <v>26</v>
      </c>
      <c r="D63" s="27"/>
      <c r="E63" s="28">
        <f t="shared" si="7"/>
        <v>2234</v>
      </c>
      <c r="F63" s="29">
        <f t="shared" si="2"/>
        <v>2234</v>
      </c>
      <c r="G63" s="28">
        <f>143+43+1574+474</f>
        <v>2234</v>
      </c>
      <c r="H63" s="29"/>
      <c r="I63" s="28">
        <f t="shared" si="8"/>
        <v>2234</v>
      </c>
      <c r="J63" s="29"/>
      <c r="K63" s="29"/>
      <c r="L63" s="30">
        <f t="shared" si="9"/>
        <v>2413</v>
      </c>
      <c r="M63" s="31">
        <f t="shared" si="3"/>
        <v>2413</v>
      </c>
      <c r="N63" s="31">
        <f>1851+562</f>
        <v>2413</v>
      </c>
      <c r="O63" s="31"/>
      <c r="P63" s="30">
        <f t="shared" si="10"/>
        <v>2413</v>
      </c>
      <c r="Q63" s="31"/>
      <c r="R63" s="31"/>
      <c r="S63" s="31"/>
    </row>
    <row r="64" spans="1:19" s="7" customFormat="1" ht="33.75" customHeight="1">
      <c r="A64" s="96" t="s">
        <v>97</v>
      </c>
      <c r="B64" s="96"/>
      <c r="C64" s="26" t="s">
        <v>26</v>
      </c>
      <c r="D64" s="27"/>
      <c r="E64" s="28">
        <f t="shared" si="7"/>
        <v>0</v>
      </c>
      <c r="F64" s="29">
        <f t="shared" si="2"/>
        <v>0</v>
      </c>
      <c r="G64" s="28"/>
      <c r="H64" s="29"/>
      <c r="I64" s="28">
        <f t="shared" si="8"/>
        <v>0</v>
      </c>
      <c r="J64" s="29"/>
      <c r="K64" s="29"/>
      <c r="L64" s="30">
        <f t="shared" si="9"/>
        <v>60</v>
      </c>
      <c r="M64" s="31">
        <f t="shared" si="3"/>
        <v>60</v>
      </c>
      <c r="N64" s="31">
        <v>60</v>
      </c>
      <c r="O64" s="31"/>
      <c r="P64" s="30">
        <f t="shared" si="10"/>
        <v>60</v>
      </c>
      <c r="Q64" s="31"/>
      <c r="R64" s="31"/>
      <c r="S64" s="31"/>
    </row>
    <row r="65" spans="1:19" s="7" customFormat="1" ht="18.75" customHeight="1">
      <c r="A65" s="96" t="s">
        <v>98</v>
      </c>
      <c r="B65" s="96"/>
      <c r="C65" s="26" t="s">
        <v>26</v>
      </c>
      <c r="D65" s="27"/>
      <c r="E65" s="28">
        <f t="shared" si="7"/>
        <v>32</v>
      </c>
      <c r="F65" s="29">
        <f t="shared" si="2"/>
        <v>32</v>
      </c>
      <c r="G65" s="28">
        <f>3+9+20</f>
        <v>32</v>
      </c>
      <c r="H65" s="29"/>
      <c r="I65" s="28">
        <f t="shared" si="8"/>
        <v>32</v>
      </c>
      <c r="J65" s="29"/>
      <c r="K65" s="29"/>
      <c r="L65" s="30">
        <f t="shared" si="9"/>
        <v>35</v>
      </c>
      <c r="M65" s="31">
        <f t="shared" si="3"/>
        <v>35</v>
      </c>
      <c r="N65" s="31">
        <v>35</v>
      </c>
      <c r="O65" s="31"/>
      <c r="P65" s="30">
        <f t="shared" si="10"/>
        <v>35</v>
      </c>
      <c r="Q65" s="31"/>
      <c r="R65" s="31"/>
      <c r="S65" s="31"/>
    </row>
    <row r="66" spans="1:19" s="7" customFormat="1" ht="43.5" customHeight="1">
      <c r="A66" s="96" t="s">
        <v>99</v>
      </c>
      <c r="B66" s="96"/>
      <c r="C66" s="26" t="s">
        <v>26</v>
      </c>
      <c r="D66" s="27" t="s">
        <v>100</v>
      </c>
      <c r="E66" s="28">
        <f t="shared" si="7"/>
        <v>0</v>
      </c>
      <c r="F66" s="29">
        <f t="shared" si="2"/>
        <v>0</v>
      </c>
      <c r="G66" s="29">
        <v>0</v>
      </c>
      <c r="H66" s="29"/>
      <c r="I66" s="28">
        <f t="shared" si="8"/>
        <v>0</v>
      </c>
      <c r="J66" s="29"/>
      <c r="K66" s="29"/>
      <c r="L66" s="30"/>
      <c r="M66" s="31">
        <f t="shared" si="3"/>
        <v>0</v>
      </c>
      <c r="N66" s="31"/>
      <c r="O66" s="31"/>
      <c r="P66" s="30"/>
      <c r="Q66" s="31"/>
      <c r="R66" s="31"/>
      <c r="S66" s="31"/>
    </row>
    <row r="67" spans="3:13" ht="9" customHeight="1">
      <c r="C67" s="9"/>
      <c r="L67" s="42"/>
      <c r="M67" s="42"/>
    </row>
    <row r="68" spans="1:19" s="4" customFormat="1" ht="11.25" customHeight="1">
      <c r="A68" s="55"/>
      <c r="B68" s="102" t="s">
        <v>101</v>
      </c>
      <c r="C68" s="102"/>
      <c r="D68" s="102"/>
      <c r="E68" s="102"/>
      <c r="F68" s="102"/>
      <c r="G68" s="102"/>
      <c r="H68" s="102"/>
      <c r="I68" s="55"/>
      <c r="J68" s="55"/>
      <c r="K68" s="55"/>
      <c r="L68" s="56"/>
      <c r="M68" s="56"/>
      <c r="N68" s="55"/>
      <c r="O68" s="55"/>
      <c r="P68" s="55"/>
      <c r="Q68" s="55"/>
      <c r="R68" s="55"/>
      <c r="S68" s="55"/>
    </row>
    <row r="69" spans="1:19" s="1" customFormat="1" ht="12.75" customHeight="1">
      <c r="A69" s="57"/>
      <c r="B69" s="57" t="s">
        <v>125</v>
      </c>
      <c r="C69" s="58"/>
      <c r="D69" s="58"/>
      <c r="E69" s="58"/>
      <c r="F69" s="58"/>
      <c r="G69" s="58"/>
      <c r="H69" s="58"/>
      <c r="I69" s="58"/>
      <c r="J69" s="58"/>
      <c r="K69" s="58"/>
      <c r="L69" s="56"/>
      <c r="M69" s="56"/>
      <c r="N69" s="58"/>
      <c r="O69" s="58"/>
      <c r="P69" s="58"/>
      <c r="Q69" s="58"/>
      <c r="R69" s="58"/>
      <c r="S69" s="58"/>
    </row>
    <row r="70" spans="1:19" s="4" customFormat="1" ht="11.25" customHeight="1">
      <c r="A70" s="55"/>
      <c r="B70" s="55" t="s">
        <v>126</v>
      </c>
      <c r="C70" s="55"/>
      <c r="D70" s="55"/>
      <c r="E70" s="55"/>
      <c r="F70" s="55"/>
      <c r="G70" s="55"/>
      <c r="H70" s="55"/>
      <c r="I70" s="55"/>
      <c r="J70" s="55"/>
      <c r="K70" s="55"/>
      <c r="L70" s="56"/>
      <c r="M70" s="56"/>
      <c r="N70" s="55"/>
      <c r="O70" s="55"/>
      <c r="P70" s="55"/>
      <c r="Q70" s="55"/>
      <c r="R70" s="55"/>
      <c r="S70" s="55"/>
    </row>
    <row r="71" spans="1:19" s="4" customFormat="1" ht="12" customHeight="1">
      <c r="A71" s="55"/>
      <c r="B71" s="55" t="s">
        <v>127</v>
      </c>
      <c r="C71" s="55"/>
      <c r="D71" s="55"/>
      <c r="E71" s="55"/>
      <c r="F71" s="55"/>
      <c r="G71" s="55"/>
      <c r="H71" s="55"/>
      <c r="I71" s="55"/>
      <c r="J71" s="55"/>
      <c r="K71" s="55"/>
      <c r="L71" s="56"/>
      <c r="M71" s="56"/>
      <c r="N71" s="55"/>
      <c r="O71" s="55"/>
      <c r="P71" s="55"/>
      <c r="Q71" s="55"/>
      <c r="R71" s="55"/>
      <c r="S71" s="55"/>
    </row>
    <row r="72" spans="1:19" s="1" customFormat="1" ht="24.75" customHeight="1">
      <c r="A72" s="57"/>
      <c r="B72" s="57" t="s">
        <v>128</v>
      </c>
      <c r="C72" s="58"/>
      <c r="D72" s="58"/>
      <c r="E72" s="58"/>
      <c r="F72" s="58"/>
      <c r="G72" s="58"/>
      <c r="H72" s="58"/>
      <c r="I72" s="58"/>
      <c r="J72" s="58"/>
      <c r="K72" s="58"/>
      <c r="L72" s="56"/>
      <c r="M72" s="56"/>
      <c r="N72" s="58"/>
      <c r="O72" s="58"/>
      <c r="P72" s="58"/>
      <c r="Q72" s="58"/>
      <c r="R72" s="58"/>
      <c r="S72" s="58"/>
    </row>
    <row r="73" spans="1:19" s="1" customFormat="1" ht="38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42"/>
      <c r="M73" s="42"/>
      <c r="N73" s="20"/>
      <c r="O73" s="20"/>
      <c r="P73" s="20"/>
      <c r="Q73" s="12"/>
      <c r="R73" s="12"/>
      <c r="S73" s="12"/>
    </row>
    <row r="74" spans="1:19" s="1" customFormat="1" ht="30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42"/>
      <c r="M74" s="42"/>
      <c r="N74" s="20"/>
      <c r="O74" s="20"/>
      <c r="P74" s="20"/>
      <c r="Q74" s="20"/>
      <c r="R74" s="20"/>
      <c r="S74" s="10" t="s">
        <v>102</v>
      </c>
    </row>
    <row r="75" spans="1:19" s="11" customFormat="1" ht="57.75" customHeight="1">
      <c r="A75" s="103" t="s">
        <v>103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42"/>
      <c r="M75" s="42"/>
      <c r="N75" s="43"/>
      <c r="O75" s="43"/>
      <c r="P75" s="43"/>
      <c r="Q75" s="43"/>
      <c r="R75" s="43"/>
      <c r="S75" s="43"/>
    </row>
    <row r="76" spans="1:19" s="5" customFormat="1" ht="9" customHeight="1">
      <c r="A76" s="104" t="s">
        <v>8</v>
      </c>
      <c r="B76" s="105"/>
      <c r="C76" s="104" t="s">
        <v>9</v>
      </c>
      <c r="D76" s="104" t="s">
        <v>10</v>
      </c>
      <c r="E76" s="104" t="s">
        <v>104</v>
      </c>
      <c r="F76" s="97" t="s">
        <v>11</v>
      </c>
      <c r="G76" s="97" t="s">
        <v>12</v>
      </c>
      <c r="H76" s="97"/>
      <c r="I76" s="97"/>
      <c r="J76" s="97"/>
      <c r="K76" s="97"/>
      <c r="L76" s="97" t="s">
        <v>105</v>
      </c>
      <c r="M76" s="97" t="s">
        <v>14</v>
      </c>
      <c r="N76" s="97" t="s">
        <v>15</v>
      </c>
      <c r="O76" s="97"/>
      <c r="P76" s="97"/>
      <c r="Q76" s="97"/>
      <c r="R76" s="97"/>
      <c r="S76" s="98" t="s">
        <v>16</v>
      </c>
    </row>
    <row r="77" spans="1:19" s="5" customFormat="1" ht="93" customHeight="1">
      <c r="A77" s="106"/>
      <c r="B77" s="107"/>
      <c r="C77" s="106"/>
      <c r="D77" s="106"/>
      <c r="E77" s="106"/>
      <c r="F77" s="97"/>
      <c r="G77" s="47" t="s">
        <v>106</v>
      </c>
      <c r="H77" s="47" t="s">
        <v>18</v>
      </c>
      <c r="I77" s="47" t="s">
        <v>107</v>
      </c>
      <c r="J77" s="47" t="s">
        <v>20</v>
      </c>
      <c r="K77" s="47" t="s">
        <v>21</v>
      </c>
      <c r="L77" s="97"/>
      <c r="M77" s="97"/>
      <c r="N77" s="47" t="s">
        <v>17</v>
      </c>
      <c r="O77" s="47" t="s">
        <v>22</v>
      </c>
      <c r="P77" s="47" t="s">
        <v>23</v>
      </c>
      <c r="Q77" s="47" t="s">
        <v>20</v>
      </c>
      <c r="R77" s="47" t="s">
        <v>21</v>
      </c>
      <c r="S77" s="99"/>
    </row>
    <row r="78" spans="1:19" s="6" customFormat="1" ht="9" customHeight="1">
      <c r="A78" s="100">
        <v>1</v>
      </c>
      <c r="B78" s="101"/>
      <c r="C78" s="50">
        <v>2</v>
      </c>
      <c r="D78" s="50">
        <v>3</v>
      </c>
      <c r="E78" s="50">
        <v>4</v>
      </c>
      <c r="F78" s="50">
        <v>5</v>
      </c>
      <c r="G78" s="50">
        <v>6</v>
      </c>
      <c r="H78" s="50">
        <v>7</v>
      </c>
      <c r="I78" s="60">
        <v>8</v>
      </c>
      <c r="J78" s="60">
        <v>9</v>
      </c>
      <c r="K78" s="50">
        <v>10</v>
      </c>
      <c r="L78" s="50">
        <v>11</v>
      </c>
      <c r="M78" s="50">
        <v>12</v>
      </c>
      <c r="N78" s="50">
        <v>13</v>
      </c>
      <c r="O78" s="50">
        <v>14</v>
      </c>
      <c r="P78" s="60">
        <v>15</v>
      </c>
      <c r="Q78" s="60">
        <v>16</v>
      </c>
      <c r="R78" s="59">
        <v>17</v>
      </c>
      <c r="S78" s="50">
        <v>18</v>
      </c>
    </row>
    <row r="79" spans="1:19" s="7" customFormat="1" ht="11.25" customHeight="1">
      <c r="A79" s="96" t="s">
        <v>108</v>
      </c>
      <c r="B79" s="96"/>
      <c r="C79" s="26" t="s">
        <v>26</v>
      </c>
      <c r="D79" s="27" t="s">
        <v>109</v>
      </c>
      <c r="E79" s="37">
        <f>F79</f>
        <v>18886</v>
      </c>
      <c r="F79" s="37">
        <v>18886</v>
      </c>
      <c r="G79" s="31" t="s">
        <v>110</v>
      </c>
      <c r="H79" s="31" t="s">
        <v>110</v>
      </c>
      <c r="I79" s="31" t="s">
        <v>110</v>
      </c>
      <c r="J79" s="31"/>
      <c r="K79" s="31" t="s">
        <v>110</v>
      </c>
      <c r="L79" s="37">
        <f>M79</f>
        <v>39309</v>
      </c>
      <c r="M79" s="37">
        <v>39309</v>
      </c>
      <c r="N79" s="26" t="s">
        <v>110</v>
      </c>
      <c r="O79" s="26" t="s">
        <v>110</v>
      </c>
      <c r="P79" s="26" t="s">
        <v>110</v>
      </c>
      <c r="Q79" s="26"/>
      <c r="R79" s="26" t="s">
        <v>110</v>
      </c>
      <c r="S79" s="26"/>
    </row>
    <row r="80" spans="1:19" s="7" customFormat="1" ht="14.25" customHeight="1">
      <c r="A80" s="95" t="s">
        <v>111</v>
      </c>
      <c r="B80" s="95"/>
      <c r="C80" s="26" t="s">
        <v>26</v>
      </c>
      <c r="D80" s="27" t="s">
        <v>112</v>
      </c>
      <c r="E80" s="31" t="s">
        <v>110</v>
      </c>
      <c r="F80" s="31" t="s">
        <v>110</v>
      </c>
      <c r="G80" s="69">
        <v>18886</v>
      </c>
      <c r="H80" s="31" t="s">
        <v>112</v>
      </c>
      <c r="I80" s="31" t="s">
        <v>110</v>
      </c>
      <c r="J80" s="31"/>
      <c r="K80" s="31" t="s">
        <v>110</v>
      </c>
      <c r="L80" s="31" t="s">
        <v>110</v>
      </c>
      <c r="M80" s="26" t="s">
        <v>110</v>
      </c>
      <c r="N80" s="37">
        <v>39309</v>
      </c>
      <c r="O80" s="31"/>
      <c r="P80" s="26" t="s">
        <v>110</v>
      </c>
      <c r="Q80" s="26"/>
      <c r="R80" s="26" t="s">
        <v>110</v>
      </c>
      <c r="S80" s="26"/>
    </row>
    <row r="81" spans="1:19" s="7" customFormat="1" ht="58.5" customHeight="1">
      <c r="A81" s="96" t="s">
        <v>113</v>
      </c>
      <c r="B81" s="96"/>
      <c r="C81" s="26" t="s">
        <v>26</v>
      </c>
      <c r="D81" s="27" t="s">
        <v>114</v>
      </c>
      <c r="E81" s="31" t="s">
        <v>110</v>
      </c>
      <c r="F81" s="31" t="s">
        <v>110</v>
      </c>
      <c r="G81" s="31"/>
      <c r="H81" s="31"/>
      <c r="I81" s="31" t="s">
        <v>110</v>
      </c>
      <c r="J81" s="31"/>
      <c r="K81" s="31" t="s">
        <v>110</v>
      </c>
      <c r="L81" s="31" t="s">
        <v>110</v>
      </c>
      <c r="M81" s="26" t="s">
        <v>110</v>
      </c>
      <c r="N81" s="31"/>
      <c r="O81" s="31"/>
      <c r="P81" s="26" t="s">
        <v>110</v>
      </c>
      <c r="Q81" s="26"/>
      <c r="R81" s="26" t="s">
        <v>110</v>
      </c>
      <c r="S81" s="26"/>
    </row>
    <row r="82" spans="1:19" s="7" customFormat="1" ht="55.5" customHeight="1">
      <c r="A82" s="96" t="s">
        <v>115</v>
      </c>
      <c r="B82" s="96"/>
      <c r="C82" s="26" t="s">
        <v>26</v>
      </c>
      <c r="D82" s="27" t="s">
        <v>116</v>
      </c>
      <c r="E82" s="31" t="s">
        <v>110</v>
      </c>
      <c r="F82" s="31" t="s">
        <v>110</v>
      </c>
      <c r="G82" s="31"/>
      <c r="H82" s="31"/>
      <c r="I82" s="31" t="s">
        <v>110</v>
      </c>
      <c r="J82" s="31"/>
      <c r="K82" s="31" t="s">
        <v>110</v>
      </c>
      <c r="L82" s="31" t="s">
        <v>110</v>
      </c>
      <c r="M82" s="26" t="s">
        <v>110</v>
      </c>
      <c r="N82" s="26"/>
      <c r="O82" s="26"/>
      <c r="P82" s="26" t="s">
        <v>110</v>
      </c>
      <c r="Q82" s="26"/>
      <c r="R82" s="26" t="s">
        <v>110</v>
      </c>
      <c r="S82" s="26"/>
    </row>
    <row r="83" spans="1:19" s="7" customFormat="1" ht="9.75" customHeight="1">
      <c r="A83" s="96" t="s">
        <v>117</v>
      </c>
      <c r="B83" s="96"/>
      <c r="C83" s="26" t="s">
        <v>26</v>
      </c>
      <c r="D83" s="27" t="s">
        <v>118</v>
      </c>
      <c r="E83" s="68">
        <f>I83+J83</f>
        <v>1715</v>
      </c>
      <c r="F83" s="68">
        <f>E83</f>
        <v>1715</v>
      </c>
      <c r="G83" s="68" t="s">
        <v>110</v>
      </c>
      <c r="H83" s="68" t="s">
        <v>110</v>
      </c>
      <c r="I83" s="68">
        <v>1715</v>
      </c>
      <c r="J83" s="61"/>
      <c r="K83" s="61" t="s">
        <v>112</v>
      </c>
      <c r="L83" s="31">
        <f>P83+R83</f>
        <v>9256</v>
      </c>
      <c r="M83" s="31">
        <f>L83</f>
        <v>9256</v>
      </c>
      <c r="N83" s="26" t="s">
        <v>110</v>
      </c>
      <c r="O83" s="26" t="s">
        <v>110</v>
      </c>
      <c r="P83" s="31">
        <v>9256</v>
      </c>
      <c r="Q83" s="31"/>
      <c r="R83" s="26"/>
      <c r="S83" s="26"/>
    </row>
    <row r="84" spans="1:19" s="7" customFormat="1" ht="9.75" customHeight="1">
      <c r="A84" s="96" t="s">
        <v>119</v>
      </c>
      <c r="B84" s="96"/>
      <c r="C84" s="26" t="s">
        <v>26</v>
      </c>
      <c r="D84" s="27" t="s">
        <v>120</v>
      </c>
      <c r="E84" s="68">
        <f>F84</f>
        <v>1236015</v>
      </c>
      <c r="F84" s="68">
        <f>I84</f>
        <v>1236015</v>
      </c>
      <c r="G84" s="68" t="s">
        <v>110</v>
      </c>
      <c r="H84" s="68" t="s">
        <v>110</v>
      </c>
      <c r="I84" s="68">
        <v>1236015</v>
      </c>
      <c r="J84" s="61"/>
      <c r="K84" s="61" t="s">
        <v>112</v>
      </c>
      <c r="L84" s="31">
        <f>P84+R84</f>
        <v>1236015</v>
      </c>
      <c r="M84" s="31">
        <f>L84</f>
        <v>1236015</v>
      </c>
      <c r="N84" s="26" t="s">
        <v>110</v>
      </c>
      <c r="O84" s="26" t="s">
        <v>110</v>
      </c>
      <c r="P84" s="31">
        <f>757646+474217+3179+973</f>
        <v>1236015</v>
      </c>
      <c r="Q84" s="31"/>
      <c r="R84" s="26"/>
      <c r="S84" s="26"/>
    </row>
    <row r="85" spans="1:19" s="7" customFormat="1" ht="9.75" customHeight="1">
      <c r="A85" s="96" t="s">
        <v>121</v>
      </c>
      <c r="B85" s="96"/>
      <c r="C85" s="26" t="s">
        <v>26</v>
      </c>
      <c r="D85" s="27" t="s">
        <v>122</v>
      </c>
      <c r="E85" s="31">
        <f>F85</f>
        <v>7378</v>
      </c>
      <c r="F85" s="31">
        <f>I85</f>
        <v>7378</v>
      </c>
      <c r="G85" s="31" t="s">
        <v>110</v>
      </c>
      <c r="H85" s="31" t="s">
        <v>110</v>
      </c>
      <c r="I85" s="31">
        <v>7378</v>
      </c>
      <c r="J85" s="31"/>
      <c r="K85" s="31"/>
      <c r="L85" s="31">
        <f>P85+R85</f>
        <v>0</v>
      </c>
      <c r="M85" s="31">
        <f>L85</f>
        <v>0</v>
      </c>
      <c r="N85" s="26" t="s">
        <v>110</v>
      </c>
      <c r="O85" s="26" t="s">
        <v>110</v>
      </c>
      <c r="P85" s="26">
        <v>0</v>
      </c>
      <c r="Q85" s="26"/>
      <c r="R85" s="26"/>
      <c r="S85" s="26"/>
    </row>
    <row r="86" ht="10.5" customHeight="1">
      <c r="C86" s="9"/>
    </row>
    <row r="87" spans="1:19" s="1" customFormat="1" ht="8.25" customHeight="1">
      <c r="A87" s="57"/>
      <c r="B87" s="57" t="s">
        <v>125</v>
      </c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20"/>
      <c r="N87" s="20"/>
      <c r="O87" s="20"/>
      <c r="P87" s="20"/>
      <c r="Q87" s="20"/>
      <c r="R87" s="20"/>
      <c r="S87" s="20"/>
    </row>
    <row r="88" spans="1:19" s="4" customFormat="1" ht="11.25" customHeight="1">
      <c r="A88" s="55"/>
      <c r="B88" s="55" t="s">
        <v>126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9"/>
      <c r="N88" s="9"/>
      <c r="O88" s="9"/>
      <c r="P88" s="9"/>
      <c r="Q88" s="9"/>
      <c r="R88" s="9"/>
      <c r="S88" s="9"/>
    </row>
    <row r="89" spans="1:19" s="4" customFormat="1" ht="11.25" customHeight="1">
      <c r="A89" s="55"/>
      <c r="B89" s="55" t="s">
        <v>127</v>
      </c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9"/>
      <c r="N89" s="9"/>
      <c r="O89" s="9"/>
      <c r="P89" s="9"/>
      <c r="Q89" s="9"/>
      <c r="R89" s="9"/>
      <c r="S89" s="9"/>
    </row>
    <row r="90" spans="1:19" s="4" customFormat="1" ht="7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2:11" ht="12.75" customHeight="1">
      <c r="B91" s="44" t="s">
        <v>132</v>
      </c>
      <c r="C91" s="92" t="s">
        <v>133</v>
      </c>
      <c r="D91" s="92"/>
      <c r="E91" s="92"/>
      <c r="F91" s="92"/>
      <c r="G91" s="92"/>
      <c r="H91" s="92"/>
      <c r="I91" s="92"/>
      <c r="J91" s="92"/>
      <c r="K91" s="92"/>
    </row>
    <row r="92" spans="3:11" ht="36" customHeight="1">
      <c r="C92" s="92"/>
      <c r="D92" s="92"/>
      <c r="E92" s="92"/>
      <c r="F92" s="92"/>
      <c r="G92" s="92"/>
      <c r="H92" s="92"/>
      <c r="I92" s="92"/>
      <c r="J92" s="92"/>
      <c r="K92" s="92"/>
    </row>
    <row r="93" spans="1:19" s="4" customFormat="1" ht="7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s="4" customFormat="1" ht="27" customHeight="1">
      <c r="A94" s="9"/>
      <c r="B94" s="15" t="s">
        <v>123</v>
      </c>
      <c r="C94" s="16" t="s">
        <v>136</v>
      </c>
      <c r="D94" s="16"/>
      <c r="E94" s="16"/>
      <c r="F94" s="16"/>
      <c r="G94" s="16"/>
      <c r="H94" s="16"/>
      <c r="I94" s="15"/>
      <c r="J94" s="15"/>
      <c r="K94" s="15"/>
      <c r="L94" s="117"/>
      <c r="M94" s="117"/>
      <c r="N94" s="16"/>
      <c r="O94" s="17" t="s">
        <v>137</v>
      </c>
      <c r="P94" s="45"/>
      <c r="Q94" s="9"/>
      <c r="R94" s="9"/>
      <c r="S94" s="9"/>
    </row>
    <row r="95" spans="1:19" s="4" customFormat="1" ht="24.75" customHeight="1">
      <c r="A95" s="9"/>
      <c r="B95" s="15"/>
      <c r="C95" s="18" t="s">
        <v>124</v>
      </c>
      <c r="D95" s="18"/>
      <c r="E95" s="18"/>
      <c r="F95" s="18"/>
      <c r="G95" s="18"/>
      <c r="H95" s="18"/>
      <c r="I95" s="15"/>
      <c r="J95" s="15"/>
      <c r="K95" s="15"/>
      <c r="L95" s="118"/>
      <c r="M95" s="118"/>
      <c r="N95" s="18"/>
      <c r="O95" s="19" t="s">
        <v>141</v>
      </c>
      <c r="P95" s="46"/>
      <c r="Q95" s="9"/>
      <c r="R95" s="9"/>
      <c r="S95" s="9"/>
    </row>
    <row r="96" spans="1:2" s="4" customFormat="1" ht="12" customHeight="1">
      <c r="A96" s="14"/>
      <c r="B96" s="14"/>
    </row>
    <row r="97" spans="1:3" s="3" customFormat="1" ht="17.25" customHeight="1">
      <c r="A97" s="13" t="s">
        <v>124</v>
      </c>
      <c r="B97" s="13"/>
      <c r="C97" s="4"/>
    </row>
    <row r="98" s="4" customFormat="1" ht="8.25" customHeight="1"/>
    <row r="99" ht="3" customHeight="1"/>
  </sheetData>
  <sheetProtection/>
  <mergeCells count="83">
    <mergeCell ref="B3:S3"/>
    <mergeCell ref="B4:S4"/>
    <mergeCell ref="A17:B18"/>
    <mergeCell ref="C17:C18"/>
    <mergeCell ref="D17:D18"/>
    <mergeCell ref="E17:E18"/>
    <mergeCell ref="F17:F18"/>
    <mergeCell ref="G17:K17"/>
    <mergeCell ref="L17:L18"/>
    <mergeCell ref="M17:M18"/>
    <mergeCell ref="N17:R17"/>
    <mergeCell ref="S17:S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B68:H68"/>
    <mergeCell ref="A75:K75"/>
    <mergeCell ref="A76:B77"/>
    <mergeCell ref="C76:C77"/>
    <mergeCell ref="D76:D77"/>
    <mergeCell ref="E76:E77"/>
    <mergeCell ref="F76:F77"/>
    <mergeCell ref="G76:K76"/>
    <mergeCell ref="L76:L77"/>
    <mergeCell ref="M76:M77"/>
    <mergeCell ref="N76:R76"/>
    <mergeCell ref="S76:S77"/>
    <mergeCell ref="A78:B78"/>
    <mergeCell ref="A79:B79"/>
    <mergeCell ref="C91:K92"/>
    <mergeCell ref="L94:M94"/>
    <mergeCell ref="L95:M95"/>
    <mergeCell ref="A80:B80"/>
    <mergeCell ref="A81:B81"/>
    <mergeCell ref="A82:B82"/>
    <mergeCell ref="A83:B83"/>
    <mergeCell ref="A84:B84"/>
    <mergeCell ref="A85:B85"/>
  </mergeCells>
  <printOptions/>
  <pageMargins left="0.31496062992125984" right="0" top="0.7874015748031497" bottom="0.3937007874015748" header="0.15748031496062992" footer="0.15748031496062992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Вера Васильевна Ульянкова</cp:lastModifiedBy>
  <cp:lastPrinted>2016-11-29T07:59:32Z</cp:lastPrinted>
  <dcterms:created xsi:type="dcterms:W3CDTF">2014-05-28T13:07:59Z</dcterms:created>
  <dcterms:modified xsi:type="dcterms:W3CDTF">2016-11-29T07:59:37Z</dcterms:modified>
  <cp:category/>
  <cp:version/>
  <cp:contentType/>
  <cp:contentStatus/>
</cp:coreProperties>
</file>