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 Общая информация" sheetId="1" r:id="rId1"/>
    <sheet name="Пункт 2.1." sheetId="2" r:id="rId2"/>
    <sheet name="Пункт 2.2." sheetId="3" r:id="rId3"/>
    <sheet name="Пункт 3.1.,3.2.,3.3." sheetId="4" r:id="rId4"/>
    <sheet name="Пункт 3.4." sheetId="5" r:id="rId5"/>
    <sheet name="Пункт 4.1." sheetId="6" r:id="rId6"/>
    <sheet name="Пункт 4.2." sheetId="7" r:id="rId7"/>
    <sheet name="Пункт 4.3." sheetId="8" r:id="rId8"/>
    <sheet name="Пункт 4.9." sheetId="9" r:id="rId9"/>
    <sheet name="информация2015г" sheetId="10" r:id="rId10"/>
    <sheet name="информация 2014г" sheetId="11" r:id="rId11"/>
  </sheets>
  <definedNames>
    <definedName name="_xlnm.Print_Titles" localSheetId="3">'Пункт 3.1.,3.2.,3.3.'!$5:$5</definedName>
    <definedName name="_xlnm.Print_Area" localSheetId="0">'1. Общая информация'!$A$1:$Y$71</definedName>
    <definedName name="_xlnm.Print_Area" localSheetId="10">'информация 2014г'!$A$1:$P$49</definedName>
    <definedName name="_xlnm.Print_Area" localSheetId="1">'Пункт 2.1.'!$A$1:$R$31</definedName>
    <definedName name="_xlnm.Print_Area" localSheetId="4">'Пункт 3.4.'!$A$1:$AX$21</definedName>
    <definedName name="_xlnm.Print_Area" localSheetId="6">'Пункт 4.2.'!$A$1:$K$6</definedName>
    <definedName name="_xlnm.Print_Area" localSheetId="8">'Пункт 4.9.'!$A$1:$AE$9</definedName>
  </definedNames>
  <calcPr fullCalcOnLoad="1" refMode="R1C1"/>
</workbook>
</file>

<file path=xl/comments4.xml><?xml version="1.0" encoding="utf-8"?>
<comments xmlns="http://schemas.openxmlformats.org/spreadsheetml/2006/main">
  <authors>
    <author>Автор</author>
  </authors>
  <commentLis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замерам декабрь 2015</t>
        </r>
      </text>
    </comment>
    <comment ref="L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учетом аварийных режимов</t>
        </r>
      </text>
    </comment>
    <comment ref="G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 по сечению линии</t>
        </r>
      </text>
    </comment>
    <comment ref="L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учетом аварийных режимов</t>
        </r>
      </text>
    </comment>
    <comment ref="G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сечению провода</t>
        </r>
      </text>
    </comment>
    <comment ref="G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сечению провода</t>
        </r>
      </text>
    </comment>
  </commentList>
</comments>
</file>

<file path=xl/sharedStrings.xml><?xml version="1.0" encoding="utf-8"?>
<sst xmlns="http://schemas.openxmlformats.org/spreadsheetml/2006/main" count="2147" uniqueCount="568">
  <si>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</si>
  <si>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</si>
  <si>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</si>
  <si>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</si>
  <si>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</si>
  <si>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</si>
  <si>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</si>
  <si>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</si>
  <si>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</si>
  <si>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</si>
  <si>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</si>
  <si>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</si>
  <si>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</si>
  <si>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</si>
  <si>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</si>
  <si>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</si>
  <si>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</si>
  <si>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</si>
  <si>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</si>
  <si>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</si>
  <si>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</si>
  <si>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</si>
  <si>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</si>
  <si>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</si>
  <si>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</si>
  <si>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</si>
  <si>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</si>
  <si>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1.1.</t>
  </si>
  <si>
    <t>1.2.</t>
  </si>
  <si>
    <t>1.3.</t>
  </si>
  <si>
    <t>1.4.</t>
  </si>
  <si>
    <r>
      <t xml:space="preserve">Показатель средней продолжительности прекращений передачи электрической энергии </t>
    </r>
    <r>
      <rPr>
        <b/>
        <sz val="12"/>
        <color indexed="8"/>
        <rFont val="Calibri"/>
        <family val="2"/>
      </rPr>
      <t>(П saidi)*</t>
    </r>
  </si>
  <si>
    <t>2.1.</t>
  </si>
  <si>
    <t>2.2.</t>
  </si>
  <si>
    <t>2.3.</t>
  </si>
  <si>
    <t>2.4.</t>
  </si>
  <si>
    <t>3.1.</t>
  </si>
  <si>
    <t>3.2.</t>
  </si>
  <si>
    <t>3.3.</t>
  </si>
  <si>
    <t>3.4.</t>
  </si>
  <si>
    <r>
      <t xml:space="preserve">Показатель средней частоты прекращений передачи электрической энергии </t>
    </r>
    <r>
      <rPr>
        <b/>
        <sz val="11"/>
        <color indexed="8"/>
        <rFont val="Calibri"/>
        <family val="2"/>
      </rPr>
      <t>(П saifi)*</t>
    </r>
  </si>
  <si>
    <r>
  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  </r>
    <r>
      <rPr>
        <b/>
        <sz val="11"/>
        <color indexed="8"/>
        <rFont val="Calibri"/>
        <family val="2"/>
      </rPr>
      <t>(П saidi, план)**</t>
    </r>
  </si>
  <si>
    <r>
  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  </r>
    <r>
      <rPr>
        <b/>
        <sz val="11"/>
        <color indexed="8"/>
        <rFont val="Calibri"/>
        <family val="2"/>
      </rPr>
      <t>(П saifi, план)**</t>
    </r>
  </si>
  <si>
    <t>4.1.</t>
  </si>
  <si>
    <t>4.2.</t>
  </si>
  <si>
    <t>4.3.</t>
  </si>
  <si>
    <t>4.4.</t>
  </si>
  <si>
    <t>5.1.</t>
  </si>
  <si>
    <t>Количество случаев нарушения качества электрической энергии, подтвержденных актами контролирующих организаций и (или) решениями суда***,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</si>
  <si>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шт***.</t>
  </si>
  <si>
    <r>
      <t xml:space="preserve">Показатель средней продолжительности прекращений передачи электрической энергии,  </t>
    </r>
    <r>
      <rPr>
        <b/>
        <sz val="10"/>
        <color indexed="8"/>
        <rFont val="Calibri"/>
        <family val="2"/>
      </rPr>
      <t>(П saidi)**</t>
    </r>
  </si>
  <si>
    <r>
      <t>Показатель средней частоты прекращений передачи электрической энергии, </t>
    </r>
    <r>
      <rPr>
        <b/>
        <sz val="10"/>
        <color indexed="8"/>
        <rFont val="Calibri"/>
        <family val="2"/>
      </rPr>
      <t>(П saifi)**</t>
    </r>
  </si>
  <si>
    <r>
      <t>Структурная единица сетевой организации</t>
    </r>
    <r>
      <rPr>
        <b/>
        <sz val="10"/>
        <color indexed="8"/>
        <rFont val="Calibri"/>
        <family val="2"/>
      </rPr>
      <t>*</t>
    </r>
  </si>
  <si>
    <r>
  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  </r>
    <r>
      <rPr>
        <b/>
        <sz val="10"/>
        <color indexed="8"/>
        <rFont val="Calibri"/>
        <family val="2"/>
      </rPr>
      <t>(П saidi, план)**</t>
    </r>
  </si>
  <si>
    <r>
  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  </r>
    <r>
      <rPr>
        <b/>
        <sz val="10"/>
        <color indexed="8"/>
        <rFont val="Calibri"/>
        <family val="2"/>
      </rPr>
      <t>(П saifi, план)**</t>
    </r>
  </si>
  <si>
    <t>Примечание:</t>
  </si>
  <si>
    <r>
      <t xml:space="preserve"> </t>
    </r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- указываются наименования обособленных подразделений сетевой организации, в том числе производственных отделений или предприятий электрических сетей.</t>
    </r>
  </si>
  <si>
    <r>
      <rPr>
        <b/>
        <sz val="11"/>
        <color indexed="8"/>
        <rFont val="Calibri"/>
        <family val="2"/>
      </rPr>
      <t>**</t>
    </r>
    <r>
      <rPr>
        <sz val="11"/>
        <color theme="1"/>
        <rFont val="Calibri"/>
        <family val="2"/>
      </rPr>
      <t xml:space="preserve"> - значение показателей определяются  в  соответствии с пунктом 2.1., при этом в  расчётах следует использовать  количество потребителей услуг, энергопринимающие устройства которых расположены на территории эксплуатационной ответственности данного обособленного подразделения.</t>
    </r>
  </si>
  <si>
    <t>2.   ИНФОРМАЦИЯ  О КАЧЕСТВЕ УСЛУГ ПО ПЕРЕДАЧЕ ЭЛЕКТРИЧЕСКОЙ ЭНЕРГИИ.</t>
  </si>
  <si>
    <t>2.3.  Мероприятия, выполняемые сетевой организации в целях  повышения качества оказания  услуг по передаче электрической энергии в отчётном  периоде.</t>
  </si>
  <si>
    <t>1.</t>
  </si>
  <si>
    <t>2.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</si>
  <si>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</si>
  <si>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</si>
  <si>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</si>
  <si>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</si>
  <si>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</si>
  <si>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</si>
  <si>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</si>
  <si>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</si>
  <si>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</si>
  <si>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по вине сетевой организации</t>
  </si>
  <si>
    <t>по вине сторонних лиц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</si>
  <si>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</si>
  <si>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</si>
  <si>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</si>
  <si>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КЛ</t>
  </si>
  <si>
    <t>ВЛ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</si>
  <si>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</si>
  <si>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</si>
  <si>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</si>
  <si>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 Информация о качестве услуг по технологическому присоединению.</t>
  </si>
  <si>
    <t>1. Общая информация о сетевой организации.</t>
  </si>
  <si>
    <t>7.1.</t>
  </si>
  <si>
    <t>7.2.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</si>
  <si>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</si>
  <si>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</si>
  <si>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</si>
  <si>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</si>
  <si>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</si>
  <si>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</si>
  <si>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</si>
  <si>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</si>
  <si>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</si>
  <si>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</si>
  <si>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</si>
  <si>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</si>
  <si>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</si>
  <si>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</si>
  <si>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</si>
  <si>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</si>
  <si>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</si>
  <si>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</si>
  <si>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</si>
  <si>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</si>
  <si>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</si>
  <si>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</si>
  <si>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</si>
  <si>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2.1.1.</t>
  </si>
  <si>
    <t>2.1.2.</t>
  </si>
  <si>
    <t>2.5.</t>
  </si>
  <si>
    <t>2.6.</t>
  </si>
  <si>
    <t>Жалобы*</t>
  </si>
  <si>
    <t>качество услуг по передаче электрической энергии**</t>
  </si>
  <si>
    <t>качество электрической энергии***</t>
  </si>
  <si>
    <t>Офис обслуживания потребителей</t>
  </si>
  <si>
    <t>Адрес местонахождения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</si>
  <si>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</si>
  <si>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</si>
  <si>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</si>
  <si>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</si>
  <si>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потребителей*.</t>
  </si>
  <si>
    <t>Тип офиса**</t>
  </si>
  <si>
    <t>Предоставляемые услуги***</t>
  </si>
  <si>
    <t>Среднее время на обслуживание потребителя, мин****.</t>
  </si>
  <si>
    <t>Среднее время ожидания потребителя в очереди, мин****.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</si>
  <si>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</si>
  <si>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</si>
  <si>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</si>
  <si>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</si>
  <si>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</si>
  <si>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</si>
  <si>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</si>
  <si>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</si>
  <si>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</si>
  <si>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</si>
  <si>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</si>
  <si>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мин.</t>
  </si>
  <si>
    <t>Среднее время ожидания ответа потребителем при телефонном вызове на выделенные номера телефонов за текущий период*</t>
  </si>
  <si>
    <t>Среднее время обработки телефонного вызова от потребителя на выделенные номера телефонов за текущий период**</t>
  </si>
  <si>
    <t xml:space="preserve"> Информация о качестве обслуживания потребителей</t>
  </si>
  <si>
    <t>(наименование сетевой организации)</t>
  </si>
  <si>
    <t>Динамика по отношению к году, предшествующему отчетному</t>
  </si>
  <si>
    <t>№№            пп</t>
  </si>
  <si>
    <t>Тип потребителя</t>
  </si>
  <si>
    <t>по уровню напряжения</t>
  </si>
  <si>
    <t>категория надежности</t>
  </si>
  <si>
    <t>СН-1</t>
  </si>
  <si>
    <t>СН-2</t>
  </si>
  <si>
    <t xml:space="preserve">Потребители - юридические лица </t>
  </si>
  <si>
    <t>2</t>
  </si>
  <si>
    <t xml:space="preserve">Потребители - физические лица </t>
  </si>
  <si>
    <t>ЛЭП</t>
  </si>
  <si>
    <t>Воздушные линии, км</t>
  </si>
  <si>
    <t>Кабельные линии, км</t>
  </si>
  <si>
    <t>Подстанция</t>
  </si>
  <si>
    <t>Филиал АО "МЭС" "Ковдорская электросеть"</t>
  </si>
  <si>
    <r>
      <t>Информация о наличии невостребованной мощности для осуществления технологического присоединения располагается на официальном сайте АО "МЭС" по адресу:</t>
    </r>
    <r>
      <rPr>
        <sz val="11"/>
        <color indexed="12"/>
        <rFont val="Calibri"/>
        <family val="2"/>
      </rPr>
      <t xml:space="preserve"> http://www.mures.ru/index.php/akcioneram-i-investoram/raskritie-informacii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>Информация обновляется два раза в год.</t>
    </r>
  </si>
  <si>
    <t>Очного обслуживания</t>
  </si>
  <si>
    <t>184141 Мурманская область, г.Ковдор, ул.Кирова, д.3</t>
  </si>
  <si>
    <t>ПН-ПТ 8.30-16.42, СБ-ВС выходные дни</t>
  </si>
  <si>
    <t>Консультация специалистами филиала по вопросам:  Электроснабжение; Качество электрической энергии; Перерывы в электроснабжении; Состояние электроснабжения, плановые и аварийные отключения электроэнергии; Технологическое присоединение к электрическим сетям; Обслуживание приборо учета электрической энергии; Незаконное потребление электрической энергии и хищение объектов электросетевого хозяйства; Прочие вопросы, касающиеся деятельности филиала.</t>
  </si>
  <si>
    <t>&gt;250</t>
  </si>
  <si>
    <t>(81535)7-37-36</t>
  </si>
  <si>
    <t>(81535)7-26-20</t>
  </si>
  <si>
    <t>˗</t>
  </si>
  <si>
    <t>2015 год</t>
  </si>
  <si>
    <t>2014 год</t>
  </si>
  <si>
    <t>-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</si>
  <si>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</si>
  <si>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</si>
  <si>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</si>
  <si>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</si>
  <si>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</si>
  <si>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заявку на оказание услуг</t>
  </si>
  <si>
    <t>Факт получения потребителем ответа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</si>
  <si>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</si>
  <si>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</si>
  <si>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</si>
  <si>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</si>
  <si>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</si>
  <si>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</si>
  <si>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</si>
  <si>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</si>
  <si>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</si>
  <si>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</si>
  <si>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</si>
  <si>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</si>
  <si>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</si>
  <si>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</si>
  <si>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</si>
  <si>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</si>
  <si>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</si>
  <si>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</si>
  <si>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</si>
  <si>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потребителей*.</t>
  </si>
  <si>
    <t>Обращения потребителей, содержащие жалобу**</t>
  </si>
  <si>
    <t>Мероприятия по результатам обращения***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</si>
  <si>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сетям*,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</si>
  <si>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суда**, штуки, в том числе: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</si>
  <si>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сетям***, дней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</si>
  <si>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суда****, штуки, в том числе:</t>
  </si>
  <si>
    <t>Средняя продолжительность исполнения договоров об осуществлении технологического присоединения к электрическим сетям*****, дней</t>
  </si>
  <si>
    <t>Наименование объекта электросетевого хозяйства</t>
  </si>
  <si>
    <t>Уровень физического износа объекта, %</t>
  </si>
  <si>
    <t>Кол-во точек</t>
  </si>
  <si>
    <t>Количество точек поставки всего и точек поставки оборудованных приборами учета электрической энергии</t>
  </si>
  <si>
    <t>в т.ч. точек поставки. Оборудованных приборами учета электрической энергии</t>
  </si>
  <si>
    <t>в т.ч. физические лица</t>
  </si>
  <si>
    <t>приборы учета с возможностью дистанционного сбора данных</t>
  </si>
  <si>
    <t>6 (10) кВ</t>
  </si>
  <si>
    <t>0,4 кВ</t>
  </si>
  <si>
    <t>Кол-во с разбивкой по уровням напряжения</t>
  </si>
  <si>
    <t>Кол-во в динамике</t>
  </si>
  <si>
    <t>Выключатель маслянный, шт.</t>
  </si>
  <si>
    <t>Выключатель автоматический, шт.</t>
  </si>
  <si>
    <t>Выключатель вакуумный, шт.</t>
  </si>
  <si>
    <t>Выключатель нагрузки, шт.</t>
  </si>
  <si>
    <t>Разъединитель, шт.</t>
  </si>
  <si>
    <t>Трансформатор силовой трехфазный 6(10)/0,4, шт.</t>
  </si>
  <si>
    <t>4</t>
  </si>
  <si>
    <t>47-100</t>
  </si>
  <si>
    <t>24-100</t>
  </si>
  <si>
    <t>50-100</t>
  </si>
  <si>
    <t>55-100</t>
  </si>
  <si>
    <t>53-100</t>
  </si>
  <si>
    <t>25-100</t>
  </si>
  <si>
    <t>28-100</t>
  </si>
  <si>
    <t xml:space="preserve"> в т.ч. юридические лица</t>
  </si>
  <si>
    <t xml:space="preserve"> в т.ч. МКД</t>
  </si>
  <si>
    <t>В целях совершенствования деятельности по технологическому присоединению в отчетном периоде выполнялись мероприятия по заполнению различных табличных форм для раскрытия информации на официальном сайте,участие в  семинарах по технологическому присоединению сотрудников сетевой  организации.</t>
  </si>
  <si>
    <t xml:space="preserve"> -</t>
  </si>
  <si>
    <t>№12</t>
  </si>
  <si>
    <t xml:space="preserve"> - </t>
  </si>
  <si>
    <t xml:space="preserve"> +</t>
  </si>
  <si>
    <t xml:space="preserve">  +</t>
  </si>
  <si>
    <t>№59</t>
  </si>
  <si>
    <t>№288</t>
  </si>
  <si>
    <t>№328</t>
  </si>
  <si>
    <t>№425</t>
  </si>
  <si>
    <t>№534</t>
  </si>
  <si>
    <t>№548</t>
  </si>
  <si>
    <t>№561</t>
  </si>
  <si>
    <t>№637</t>
  </si>
  <si>
    <t>№723</t>
  </si>
  <si>
    <t>№860</t>
  </si>
  <si>
    <t>№997</t>
  </si>
  <si>
    <t>№1165</t>
  </si>
  <si>
    <t>№1565</t>
  </si>
  <si>
    <t>филиал "Ковдорская электросеть"</t>
  </si>
  <si>
    <t>филиал "Заполярная горэлектросеть"</t>
  </si>
  <si>
    <t>ИТОГО  ОАО "МЭС"</t>
  </si>
  <si>
    <t>ИТОГО    АО "МЭС"</t>
  </si>
  <si>
    <t xml:space="preserve"> в т.ч. ч/з безхозяйные  сетиюридические лица</t>
  </si>
  <si>
    <t>ИТОГО  АО "МЭС"</t>
  </si>
  <si>
    <t>Всего:</t>
  </si>
  <si>
    <t>Длинна воздушных и кабельных линий с разбивкой по уровням напряжения   2014 - 2015гг</t>
  </si>
  <si>
    <t xml:space="preserve">Количество подстанций </t>
  </si>
  <si>
    <t>Итого:</t>
  </si>
  <si>
    <t>филиал "Ковдорская электросеть"  (шт)</t>
  </si>
  <si>
    <t>филиал "Заполярная горэлектросеть" (шт)</t>
  </si>
  <si>
    <t>ИТОГО  АО "МЭС" (шт)</t>
  </si>
  <si>
    <t>ИТОГО  АО  "МЭС"</t>
  </si>
  <si>
    <t>Филиал "Заполярная горэлектросеть"</t>
  </si>
  <si>
    <t>ИТОГО АО "МЭС"</t>
  </si>
  <si>
    <t>Филиал АО "МЭС" "Заполярная горэлектросеть"</t>
  </si>
  <si>
    <t>№ п/п</t>
  </si>
  <si>
    <t>Месторасположение</t>
  </si>
  <si>
    <t>Диспетчерское наименование питающего центра</t>
  </si>
  <si>
    <t>Призводственное отделение филиала</t>
  </si>
  <si>
    <t>Напряжение</t>
  </si>
  <si>
    <t>Кол-во и мощность установленных трансформаторов</t>
  </si>
  <si>
    <t>Максимально допустимая нагрузка питающего центра</t>
  </si>
  <si>
    <t>Максимальная фактическая нагрузка</t>
  </si>
  <si>
    <t>Мощность по заключенным договорам (выданным ТУ)</t>
  </si>
  <si>
    <t>Свободная мощность</t>
  </si>
  <si>
    <t>Фактическая загрузка в аварийном режиме</t>
  </si>
  <si>
    <t>Загрузка в аварийном режиме с учетом заключенных договоров</t>
  </si>
  <si>
    <t>Примечание</t>
  </si>
  <si>
    <t>кВ</t>
  </si>
  <si>
    <t>шт./кВА</t>
  </si>
  <si>
    <t>кВт</t>
  </si>
  <si>
    <t>шт.</t>
  </si>
  <si>
    <t>кВА</t>
  </si>
  <si>
    <t>%</t>
  </si>
  <si>
    <t>г.Заполярный</t>
  </si>
  <si>
    <t>ПС-26</t>
  </si>
  <si>
    <t>УРС Заполярный</t>
  </si>
  <si>
    <t>2/10000</t>
  </si>
  <si>
    <t>п. Никель</t>
  </si>
  <si>
    <t>ПС-52 (МРСК) ф-61</t>
  </si>
  <si>
    <t>УРС Никель</t>
  </si>
  <si>
    <t>10/3760</t>
  </si>
  <si>
    <t>ПС-52(МРСК)   ф-74</t>
  </si>
  <si>
    <t>18/6130</t>
  </si>
  <si>
    <t>ПС-52 (МРСК)  ф-76</t>
  </si>
  <si>
    <t>21/7770</t>
  </si>
  <si>
    <t xml:space="preserve">п.Никель </t>
  </si>
  <si>
    <t>ПС-52 (МРСК)  ф-73</t>
  </si>
  <si>
    <t>17/5170</t>
  </si>
  <si>
    <t>ПС- 20 (МРСК)  ф-33</t>
  </si>
  <si>
    <t>13/4650</t>
  </si>
  <si>
    <t>ПС-20 (МРСК)   ф-23</t>
  </si>
  <si>
    <t>6/1850</t>
  </si>
  <si>
    <t>ПС-21 (МРСК)   ф-5</t>
  </si>
  <si>
    <t>1/400</t>
  </si>
  <si>
    <t>ТП законсервирована</t>
  </si>
  <si>
    <t>ПС-14 (КГМК)   ф-103</t>
  </si>
  <si>
    <r>
      <t xml:space="preserve">Всего  </t>
    </r>
    <r>
      <rPr>
        <sz val="14"/>
        <color indexed="10"/>
        <rFont val="Times New Roman"/>
        <family val="1"/>
      </rPr>
      <t>2015г</t>
    </r>
  </si>
  <si>
    <r>
      <t xml:space="preserve">Всего </t>
    </r>
    <r>
      <rPr>
        <sz val="14"/>
        <color indexed="10"/>
        <rFont val="Calibri"/>
        <family val="2"/>
      </rPr>
      <t>2015г</t>
    </r>
  </si>
  <si>
    <t>ИТОГО   АО "МЭС"</t>
  </si>
  <si>
    <t>г.Ковдор</t>
  </si>
  <si>
    <t>ПС-40А (МРСК) ф-8</t>
  </si>
  <si>
    <t>ЭСО</t>
  </si>
  <si>
    <t>2/500</t>
  </si>
  <si>
    <t>ПС-40А (МРСК) ф-23</t>
  </si>
  <si>
    <t>1/200</t>
  </si>
  <si>
    <t>ПС-40А (МРСК) ф-40</t>
  </si>
  <si>
    <t>ПС-40А (МРСК) ф-55/60</t>
  </si>
  <si>
    <t>5/2830</t>
  </si>
  <si>
    <t>ПС-40А (МРСК) ф-10</t>
  </si>
  <si>
    <t>6/2760</t>
  </si>
  <si>
    <t>ПС-40А (МРСК) ф-11</t>
  </si>
  <si>
    <t>8/2400</t>
  </si>
  <si>
    <t>ПС-40А (МРСК) ф-46</t>
  </si>
  <si>
    <t>18/6235</t>
  </si>
  <si>
    <t>ПС-40А (МРСК) ф-29</t>
  </si>
  <si>
    <t>19/7965</t>
  </si>
  <si>
    <t>ПС-40А (МРСК) ф-15</t>
  </si>
  <si>
    <t>9/4060</t>
  </si>
  <si>
    <t>ПС-40А (МРСК) ф-36</t>
  </si>
  <si>
    <t>22/8870</t>
  </si>
  <si>
    <t>ПС-40А (МРСК) ф-37</t>
  </si>
  <si>
    <t>7/2730</t>
  </si>
  <si>
    <t>ПС-40А (МРСК) ф-30</t>
  </si>
  <si>
    <t>12/4930</t>
  </si>
  <si>
    <t>п.Лейпи</t>
  </si>
  <si>
    <t>ПС-368 (МРСК) ф-22</t>
  </si>
  <si>
    <t>6/2030</t>
  </si>
  <si>
    <t>ПС-368 (МРСК) ф-2</t>
  </si>
  <si>
    <t>10/4035</t>
  </si>
  <si>
    <t>п.Куропта</t>
  </si>
  <si>
    <t>ПС-368 (МРСК) ф-21 (5)</t>
  </si>
  <si>
    <t>2/880</t>
  </si>
  <si>
    <t>с.Ена</t>
  </si>
  <si>
    <t>ПС-41 (МРСК) ф-12(7)</t>
  </si>
  <si>
    <t>участок п.Енский</t>
  </si>
  <si>
    <t>КТП МРСК</t>
  </si>
  <si>
    <t>п.Енский</t>
  </si>
  <si>
    <t>ПС-41 (МРСК) ф-18</t>
  </si>
  <si>
    <t>15/5310</t>
  </si>
  <si>
    <t>ПС-41 (МРСК) ф-8</t>
  </si>
  <si>
    <t>1/250</t>
  </si>
  <si>
    <t>п.Риколатва</t>
  </si>
  <si>
    <t>ПС-41 (МРСК) ф-15 (9)</t>
  </si>
  <si>
    <t>12/3400</t>
  </si>
  <si>
    <t>(81535) 7-37-36;                           7-37-37;                                                       res-sekretar@mures.ru; res-aleksey@mures.ru</t>
  </si>
  <si>
    <t>№ТП-001/2015</t>
  </si>
  <si>
    <t>30.12.2014</t>
  </si>
  <si>
    <t>№ТП-004/2015</t>
  </si>
  <si>
    <t>19.01.2015</t>
  </si>
  <si>
    <t xml:space="preserve">№ТП-007/2015 </t>
  </si>
  <si>
    <t>№ТП-024/2015</t>
  </si>
  <si>
    <t>№ТП-028/2015</t>
  </si>
  <si>
    <t xml:space="preserve">№ТП-029/2015 </t>
  </si>
  <si>
    <t xml:space="preserve">№ТП-008/2015 </t>
  </si>
  <si>
    <t>№ТП-036/2015</t>
  </si>
  <si>
    <t xml:space="preserve">№ТП-038/2015 </t>
  </si>
  <si>
    <t xml:space="preserve">№ТП-003/2015 </t>
  </si>
  <si>
    <t xml:space="preserve">№ТП-041/2015 </t>
  </si>
  <si>
    <t>№ТП-033/2015</t>
  </si>
  <si>
    <t xml:space="preserve">№ТП-009/2015 </t>
  </si>
  <si>
    <t>№ТП-058/2015</t>
  </si>
  <si>
    <t>№ТП-061/2015</t>
  </si>
  <si>
    <t>№ТП-054/2015</t>
  </si>
  <si>
    <t>№ТП-018/2015</t>
  </si>
  <si>
    <t>№ТП-062/2015</t>
  </si>
  <si>
    <t>№ТП-050 /2015</t>
  </si>
  <si>
    <t>№ТП-073/2015</t>
  </si>
  <si>
    <t xml:space="preserve">№ТП-021/2015 </t>
  </si>
  <si>
    <t xml:space="preserve">№ТП-005/2015 </t>
  </si>
  <si>
    <t xml:space="preserve">№ТП-011/2015 </t>
  </si>
  <si>
    <t>10.03.20125</t>
  </si>
  <si>
    <t>№ТП-030/2015</t>
  </si>
  <si>
    <t>№ТП-012/2015</t>
  </si>
  <si>
    <t>№ТП-037/2015</t>
  </si>
  <si>
    <t xml:space="preserve">№ТП-022/2015 </t>
  </si>
  <si>
    <t xml:space="preserve">№ТП-044/2015 </t>
  </si>
  <si>
    <t>№ТП-039/2015</t>
  </si>
  <si>
    <t xml:space="preserve">№ТП-047/2015 </t>
  </si>
  <si>
    <t xml:space="preserve">№ТП-019/2015 </t>
  </si>
  <si>
    <t xml:space="preserve">№ТП-034/2015 </t>
  </si>
  <si>
    <t xml:space="preserve">№ТП-053 </t>
  </si>
  <si>
    <t>№ТП-016/2015</t>
  </si>
  <si>
    <t xml:space="preserve">№ТП-032/2015 </t>
  </si>
  <si>
    <t>№ТП-049 /2015</t>
  </si>
  <si>
    <t xml:space="preserve">№ТП-048/2015 </t>
  </si>
  <si>
    <t xml:space="preserve">№ТП-042/2015 </t>
  </si>
  <si>
    <t>№ТП-064/2015</t>
  </si>
  <si>
    <t>№ТП-046/2015</t>
  </si>
  <si>
    <t xml:space="preserve">№ТП-040/2015 </t>
  </si>
  <si>
    <t>№ТП-063 /2015</t>
  </si>
  <si>
    <t xml:space="preserve">№ТП-051/2015 </t>
  </si>
  <si>
    <t>№ТП-067/2015</t>
  </si>
  <si>
    <t>№ТП-043/2015</t>
  </si>
  <si>
    <t>№ТП-074/2015</t>
  </si>
  <si>
    <t>80-100</t>
  </si>
  <si>
    <t>20</t>
  </si>
  <si>
    <t>0-100</t>
  </si>
  <si>
    <t>87-100</t>
  </si>
  <si>
    <t>184421 Мурманская область п. Никель, ул. Сидоровича, 16</t>
  </si>
  <si>
    <t>(815-54)5-15-06</t>
  </si>
  <si>
    <t>(81554)5-15-06</t>
  </si>
  <si>
    <t xml:space="preserve"> Акционерного  общества "Мурманэнергосбыт" услуг за 2015 год</t>
  </si>
  <si>
    <t>35кВ</t>
  </si>
  <si>
    <t>Трансформатор силовой трехфазный 35/6, шт.</t>
  </si>
  <si>
    <r>
      <t xml:space="preserve">Трансформаторные  подстанции  и распределительные подстании </t>
    </r>
    <r>
      <rPr>
        <b/>
        <sz val="11"/>
        <color indexed="8"/>
        <rFont val="Calibri"/>
        <family val="2"/>
      </rPr>
      <t xml:space="preserve">(6(10)/0,4 кВ)  </t>
    </r>
  </si>
  <si>
    <r>
      <t>Трансформаторные подстанции</t>
    </r>
    <r>
      <rPr>
        <b/>
        <sz val="11"/>
        <color indexed="8"/>
        <rFont val="Calibri"/>
        <family val="2"/>
      </rPr>
      <t xml:space="preserve"> (35 кВ)</t>
    </r>
  </si>
  <si>
    <t>(81554)5-05-19</t>
  </si>
  <si>
    <t>Ковдор</t>
  </si>
  <si>
    <t>Заполярный</t>
  </si>
  <si>
    <t>Информация о прекращениях передачи электрической энергии АО "МЭС"</t>
  </si>
  <si>
    <t>в отношении потребителей за  2015  год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</si>
  <si>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</si>
  <si>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</si>
  <si>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Наименование документа первичной информации (акт расследования, журнал отключений и т.п.)</t>
  </si>
  <si>
    <t>Продолжительность технологического нарушения, час.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</si>
  <si>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</t>
  </si>
  <si>
    <t>Количество потребителей услуг (производители электрической энергии), в отношении  которых произошло прекращение передачи электрической энергии (шт)</t>
  </si>
  <si>
    <t>в том числе:</t>
  </si>
  <si>
    <t>(час)</t>
  </si>
  <si>
    <t>перечень точек присоединения (шт)</t>
  </si>
  <si>
    <t>(шт)</t>
  </si>
  <si>
    <t>гр.9хгр.11</t>
  </si>
  <si>
    <t>(шт</t>
  </si>
  <si>
    <t>гр.13хгр.15</t>
  </si>
  <si>
    <t>запись от 13.01.2015</t>
  </si>
  <si>
    <t>Выключатель 0,4 кВ на ТП-57 РУ-0,4кВ В-2</t>
  </si>
  <si>
    <t>Журнал учета аварий и отказов в работе</t>
  </si>
  <si>
    <t>запись от 21.01.2015</t>
  </si>
  <si>
    <t>Линия Л-9 от ПС-41 ЗРУ-10кВ Ф-9</t>
  </si>
  <si>
    <t>запись от 24.01.2015</t>
  </si>
  <si>
    <t>Предохранители в ТП-59 РУ-0,4кВ ф.2,ф.4</t>
  </si>
  <si>
    <t>запись от 29.01.2015</t>
  </si>
  <si>
    <t>запись от 03.02.2015</t>
  </si>
  <si>
    <t>запись от 05.02.2015</t>
  </si>
  <si>
    <t>запись от 09.02.2015</t>
  </si>
  <si>
    <t>запись от 13.02.2015</t>
  </si>
  <si>
    <t>Линия Л-1 от ПС-41 ЗРУ-10кВ Ф-18</t>
  </si>
  <si>
    <t>запись от 07.03.2015</t>
  </si>
  <si>
    <t>Линия Л-51 от ПС -368 II сек. СбШ-6 ф.22</t>
  </si>
  <si>
    <t>запись от 14.03.2015</t>
  </si>
  <si>
    <t>Линия Л-9 от ПС -41 10 КВ Ф -9</t>
  </si>
  <si>
    <t>запись от 29.03.2015</t>
  </si>
  <si>
    <t>Автомат 0,4 кВ в ТП-63 РУ-0,4кВ, ф.2</t>
  </si>
  <si>
    <t>запись от 03.05.2015</t>
  </si>
  <si>
    <t>запись от 07.05.2015</t>
  </si>
  <si>
    <t>запись от 20.05.2015</t>
  </si>
  <si>
    <t>запись от 22.05.2015</t>
  </si>
  <si>
    <t xml:space="preserve">Линия Л-1 от ПС-41 ЗРУ-10кВ ф-18 </t>
  </si>
  <si>
    <t xml:space="preserve">Линия-0,4 кВ от ТП-54 РУ-0,4кВ ф-12 до СОШ №2 </t>
  </si>
  <si>
    <t>запись от 24.05.2015</t>
  </si>
  <si>
    <t>Линия Л-55 от ПС-40А 6 кВ ф-55</t>
  </si>
  <si>
    <t>запись от 29.06.2015</t>
  </si>
  <si>
    <t>Линия Л-4 от ПС-368 ф.21</t>
  </si>
  <si>
    <t>запись от 01.07.2015</t>
  </si>
  <si>
    <t>Линия Л-52 от ПС -368 I сек. СбШ-6 ф.2</t>
  </si>
  <si>
    <t>запись от 11.08.2015</t>
  </si>
  <si>
    <t xml:space="preserve">Линия Л-4 и Л-51 от ПС-368 ЗРУ-6кВ II сек.  ПС-368 </t>
  </si>
  <si>
    <t>запись от 23.11.2015</t>
  </si>
  <si>
    <t>Выключатель 6 кВ на РП-2, РУ-0,4кВ I сек.сб.ш. В-1</t>
  </si>
  <si>
    <t>запись от 01.12.2015</t>
  </si>
  <si>
    <t>Выключатель 6 кВ на РП-2 РУ-6кВ, яч.10 К2-62 ф.3</t>
  </si>
  <si>
    <t>запись от 19.12.2015</t>
  </si>
  <si>
    <t>Предохранитель в ТП-47 РУ-0,4 кВ ф.4</t>
  </si>
  <si>
    <t>запись от 23.12.2015</t>
  </si>
  <si>
    <t>Линия-6 кВ от РП-1 РУ-6кВ яч.13  к1-68</t>
  </si>
  <si>
    <t>запись от 30.03.2015</t>
  </si>
  <si>
    <t>Линия 10 кВ Л-14/17/17</t>
  </si>
  <si>
    <t>запись от 04.04.2015</t>
  </si>
  <si>
    <t>Линия 10 кВ ОЛ-3/25</t>
  </si>
  <si>
    <t>запись от 15.01.2015</t>
  </si>
  <si>
    <t>Линия 10 кВ Л-3</t>
  </si>
  <si>
    <t>запись от 20.02.2015</t>
  </si>
  <si>
    <t>Рубильник 0,4 кВ</t>
  </si>
  <si>
    <t>запись от 09.03.2014</t>
  </si>
  <si>
    <t>Линия 0,4 кВ Л-12/8</t>
  </si>
  <si>
    <t>запись от 24.11.2015</t>
  </si>
  <si>
    <t>Линия 10 кВ 72/5</t>
  </si>
  <si>
    <t xml:space="preserve">Линия 10 кВ Л-6/37 (ТП-32) </t>
  </si>
  <si>
    <t xml:space="preserve">Линия 10 кВ Л-6/37 (ТП-13) </t>
  </si>
  <si>
    <t xml:space="preserve">Линия 10 кВ Л-6/37 (ТП-37) </t>
  </si>
  <si>
    <t xml:space="preserve">Линия 10 кВ Л-6/37 (ТП-6) </t>
  </si>
  <si>
    <t>запись от 16.11.2015</t>
  </si>
  <si>
    <t>Линия 0,4 кВ Л-49/2</t>
  </si>
  <si>
    <t>в том числе</t>
  </si>
  <si>
    <t xml:space="preserve">                    Исполнительный директор                           Логинов В.В.                                                                                                  </t>
  </si>
  <si>
    <t xml:space="preserve">                                              (должность)                                                                (Ф.И.О.)                                                                (подпись)                                       </t>
  </si>
  <si>
    <t>в отношении потребителей за  2014  год</t>
  </si>
  <si>
    <t>Филиал ОАО "Мурманэнергосбыт" "Ковдорская электросеть"</t>
  </si>
  <si>
    <t>Линия Л-15 от ПС-41 ЗРУ-10кВ ф-15</t>
  </si>
  <si>
    <t>Выключатель 0,4 кВ на ТП -66 РУ-0.4кВ   В-2</t>
  </si>
  <si>
    <t>Линия 0,4 кВ от ТП -5 РУ-0.4кВ ф -2</t>
  </si>
  <si>
    <t>Линия  от ТП - 62 панель НО</t>
  </si>
  <si>
    <t>Линия  от ТП -66 панель НО</t>
  </si>
  <si>
    <t>Предохранитель в КТП -18, РУ-6кВ ф. "В"</t>
  </si>
  <si>
    <t>Линия к.44-51 от РП-1 РУ-6кВ яч.12</t>
  </si>
  <si>
    <t>Выключатель 6 кВ на РП-1 РУ-6 кВ яч.13 к1-68</t>
  </si>
  <si>
    <t>Линия от ТП-57 на ул.Слюдяная 7</t>
  </si>
  <si>
    <t>Линия на ул. Лесная д.2</t>
  </si>
  <si>
    <t xml:space="preserve">Линия Л-12 от ТП-627 </t>
  </si>
  <si>
    <t xml:space="preserve">Линии Л-4, Л-3 от ПС-368 </t>
  </si>
  <si>
    <t>Линия К 65 - 44</t>
  </si>
  <si>
    <t>Выключатель 6 кВ на РП-1 РУ-6кВ яч.13  к1-68</t>
  </si>
  <si>
    <t>Выключатель 6 кВ на РП-1 РУ-6кВ яч.7  к1-67</t>
  </si>
  <si>
    <t>Выключатель 6 кВ на РП-1 РУ-6кВ яч.7</t>
  </si>
  <si>
    <t>Выключатель 6 кВ на РП - 1 яч.13 к 1 -68</t>
  </si>
  <si>
    <t>Линия-0,4кВ от КТП-17</t>
  </si>
  <si>
    <t>Филиал ОАО "Мурманэнергосбыт" "Заполярная горэлектросеть"</t>
  </si>
  <si>
    <t>линия Л-23</t>
  </si>
  <si>
    <t>линия Л-65/3</t>
  </si>
  <si>
    <t>Линия Л-3</t>
  </si>
  <si>
    <t>Масляный выключатель</t>
  </si>
  <si>
    <t>линия Л-49/4-3</t>
  </si>
  <si>
    <t>Линия Л-3 после ПП/6</t>
  </si>
  <si>
    <t>Линия Л-23</t>
  </si>
  <si>
    <t>линия  Л-24/10</t>
  </si>
  <si>
    <t>Силовой трансформатор Т-1 ТП-7</t>
  </si>
  <si>
    <t>запись от 26.01.2014</t>
  </si>
  <si>
    <t>запись от 12.02.2014</t>
  </si>
  <si>
    <t>запись от 08.03.2014</t>
  </si>
  <si>
    <t>запись от 31.03.2014</t>
  </si>
  <si>
    <t>запись от 17.04.2014</t>
  </si>
  <si>
    <t>запись от 18.08.2014</t>
  </si>
  <si>
    <t>запись от 20.08.2014</t>
  </si>
  <si>
    <t>запись от 03.09.2014</t>
  </si>
  <si>
    <t>запись от 12.09.2014</t>
  </si>
  <si>
    <t>запись от 14.09.2014</t>
  </si>
  <si>
    <t>запись от 18.09.2014</t>
  </si>
  <si>
    <t>запись от 20.09.2014</t>
  </si>
  <si>
    <t>запись от 26.09.2014</t>
  </si>
  <si>
    <t>запись от 20.11.2014</t>
  </si>
  <si>
    <t>запись от 03.12.2014</t>
  </si>
  <si>
    <t>запись от 07.12.2014</t>
  </si>
  <si>
    <t>запись от 21.01.2014</t>
  </si>
  <si>
    <t>запись от 30.01.2014</t>
  </si>
  <si>
    <t>запись от 10.07.2014</t>
  </si>
  <si>
    <t>запись от 13.07.2014</t>
  </si>
  <si>
    <t>запись от 05.07.2014</t>
  </si>
  <si>
    <t>запись от 22.07.2014</t>
  </si>
  <si>
    <t>запись от 31.07.2014</t>
  </si>
  <si>
    <t>запись от 07.08.2014</t>
  </si>
  <si>
    <t>запись от 19.10.2014</t>
  </si>
  <si>
    <t>запись от 26.10.2014</t>
  </si>
  <si>
    <t>запись от 04.11.2014</t>
  </si>
  <si>
    <t>запись от 16.12.2014</t>
  </si>
  <si>
    <t>Журнал отключений</t>
  </si>
  <si>
    <t>ТП</t>
  </si>
  <si>
    <t>РП</t>
  </si>
  <si>
    <t>КЛ.</t>
  </si>
  <si>
    <t>ВЛ.</t>
  </si>
  <si>
    <t>10 (10.5)</t>
  </si>
  <si>
    <t>МВ</t>
  </si>
  <si>
    <t>Т</t>
  </si>
  <si>
    <t xml:space="preserve">Мероприятия на 2016 год: выполнение планов текущего и капитального ремонта.  </t>
  </si>
  <si>
    <t xml:space="preserve">                                                                                                                                   </t>
  </si>
  <si>
    <t>Проведение капитальных и текущих ремонтов электрооборудования и линий электропередач.</t>
  </si>
  <si>
    <t>Реконструкция  и модернизация электрооборулования и линий  электропередач  в рамках договора  аренды  с  собственником  имущества  ГОУТП "ТЭКОС".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</si>
</sst>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ourier New"/>
      <family val="3"/>
    </font>
    <font>
      <sz val="11"/>
      <color indexed="12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8"/>
      <name val="Arial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20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i/>
      <sz val="14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8"/>
      <color indexed="8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b/>
      <sz val="8"/>
      <color indexed="8"/>
      <name val="Calibri"/>
      <family val="2"/>
    </font>
    <font>
      <b/>
      <sz val="9"/>
      <color indexed="10"/>
      <name val="Arial Cyr"/>
      <family val="0"/>
    </font>
    <font>
      <b/>
      <sz val="14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8"/>
      <color theme="1"/>
      <name val="Calibri"/>
      <family val="2"/>
    </font>
    <font>
      <i/>
      <sz val="12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Arial Cyr"/>
      <family val="0"/>
    </font>
    <font>
      <sz val="11"/>
      <color rgb="FFC000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Arial Cyr"/>
      <family val="0"/>
    </font>
    <font>
      <b/>
      <sz val="14"/>
      <color rgb="FFFF0000"/>
      <name val="Times New Roman"/>
      <family val="1"/>
    </font>
    <font>
      <sz val="12"/>
      <color rgb="FFFF00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EFFC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rgb="FFE7FFED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F6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rgb="FFF9FFF7"/>
        <bgColor indexed="64"/>
      </patternFill>
    </fill>
    <fill>
      <patternFill patternType="solid">
        <fgColor rgb="FFFFF3F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5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16" fontId="0" fillId="0" borderId="10" xfId="0" applyNumberForma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vertical="top" wrapText="1"/>
    </xf>
    <xf numFmtId="0" fontId="6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top" wrapText="1"/>
    </xf>
    <xf numFmtId="0" fontId="15" fillId="36" borderId="10" xfId="56" applyFont="1" applyFill="1" applyBorder="1" applyAlignment="1">
      <alignment horizontal="center" vertical="center" wrapText="1"/>
      <protection/>
    </xf>
    <xf numFmtId="0" fontId="15" fillId="36" borderId="10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vertical="top" wrapText="1"/>
      <protection/>
    </xf>
    <xf numFmtId="177" fontId="16" fillId="0" borderId="10" xfId="56" applyNumberFormat="1" applyFont="1" applyBorder="1" applyAlignment="1">
      <alignment vertical="top"/>
      <protection/>
    </xf>
    <xf numFmtId="0" fontId="16" fillId="0" borderId="10" xfId="56" applyFont="1" applyBorder="1" applyAlignment="1">
      <alignment vertical="top"/>
      <protection/>
    </xf>
    <xf numFmtId="49" fontId="16" fillId="0" borderId="10" xfId="56" applyNumberFormat="1" applyFont="1" applyBorder="1" applyAlignment="1">
      <alignment vertical="top" wrapText="1"/>
      <protection/>
    </xf>
    <xf numFmtId="177" fontId="17" fillId="0" borderId="10" xfId="56" applyNumberFormat="1" applyFont="1" applyBorder="1" applyAlignment="1">
      <alignment vertical="top"/>
      <protection/>
    </xf>
    <xf numFmtId="2" fontId="16" fillId="0" borderId="10" xfId="56" applyNumberFormat="1" applyFont="1" applyBorder="1" applyAlignment="1">
      <alignment vertical="top"/>
      <protection/>
    </xf>
    <xf numFmtId="0" fontId="15" fillId="36" borderId="10" xfId="56" applyFont="1" applyFill="1" applyBorder="1" applyAlignment="1">
      <alignment horizontal="center" vertical="center" textRotation="90" wrapText="1"/>
      <protection/>
    </xf>
    <xf numFmtId="0" fontId="83" fillId="0" borderId="0" xfId="0" applyFont="1" applyAlignment="1">
      <alignment horizontal="justify"/>
    </xf>
    <xf numFmtId="0" fontId="83" fillId="0" borderId="0" xfId="0" applyFont="1" applyAlignment="1">
      <alignment/>
    </xf>
    <xf numFmtId="0" fontId="83" fillId="33" borderId="0" xfId="0" applyFont="1" applyFill="1" applyAlignment="1">
      <alignment/>
    </xf>
    <xf numFmtId="0" fontId="84" fillId="0" borderId="0" xfId="0" applyFont="1" applyAlignment="1">
      <alignment/>
    </xf>
    <xf numFmtId="0" fontId="84" fillId="33" borderId="0" xfId="0" applyFont="1" applyFill="1" applyAlignment="1">
      <alignment/>
    </xf>
    <xf numFmtId="0" fontId="85" fillId="37" borderId="10" xfId="0" applyFont="1" applyFill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top" wrapText="1"/>
    </xf>
    <xf numFmtId="16" fontId="83" fillId="0" borderId="13" xfId="0" applyNumberFormat="1" applyFont="1" applyBorder="1" applyAlignment="1">
      <alignment horizontal="center" vertical="top" wrapText="1"/>
    </xf>
    <xf numFmtId="0" fontId="83" fillId="0" borderId="14" xfId="0" applyFont="1" applyBorder="1" applyAlignment="1">
      <alignment horizontal="center" vertical="top" wrapText="1"/>
    </xf>
    <xf numFmtId="0" fontId="83" fillId="0" borderId="15" xfId="0" applyFont="1" applyBorder="1" applyAlignment="1">
      <alignment horizontal="justify" vertical="top" wrapText="1"/>
    </xf>
    <xf numFmtId="0" fontId="83" fillId="0" borderId="15" xfId="0" applyFont="1" applyBorder="1" applyAlignment="1">
      <alignment vertical="top" wrapText="1"/>
    </xf>
    <xf numFmtId="0" fontId="83" fillId="0" borderId="15" xfId="0" applyFont="1" applyBorder="1" applyAlignment="1">
      <alignment horizontal="right" vertical="top" wrapText="1"/>
    </xf>
    <xf numFmtId="0" fontId="83" fillId="0" borderId="16" xfId="0" applyFont="1" applyBorder="1" applyAlignment="1">
      <alignment vertical="top" wrapText="1"/>
    </xf>
    <xf numFmtId="0" fontId="85" fillId="37" borderId="13" xfId="0" applyFont="1" applyFill="1" applyBorder="1" applyAlignment="1">
      <alignment horizontal="center" vertical="top" wrapText="1"/>
    </xf>
    <xf numFmtId="0" fontId="86" fillId="37" borderId="17" xfId="0" applyFont="1" applyFill="1" applyBorder="1" applyAlignment="1">
      <alignment horizontal="center" vertical="top" wrapText="1"/>
    </xf>
    <xf numFmtId="0" fontId="86" fillId="37" borderId="10" xfId="0" applyFont="1" applyFill="1" applyBorder="1" applyAlignment="1">
      <alignment horizontal="center" vertical="top" wrapText="1"/>
    </xf>
    <xf numFmtId="0" fontId="85" fillId="37" borderId="15" xfId="0" applyFont="1" applyFill="1" applyBorder="1" applyAlignment="1">
      <alignment horizontal="center" vertical="top" wrapText="1"/>
    </xf>
    <xf numFmtId="0" fontId="85" fillId="37" borderId="18" xfId="0" applyFont="1" applyFill="1" applyBorder="1" applyAlignment="1">
      <alignment horizontal="center" vertical="top" wrapText="1"/>
    </xf>
    <xf numFmtId="0" fontId="86" fillId="37" borderId="18" xfId="0" applyFont="1" applyFill="1" applyBorder="1" applyAlignment="1">
      <alignment horizontal="center" vertical="top" wrapText="1"/>
    </xf>
    <xf numFmtId="0" fontId="83" fillId="38" borderId="19" xfId="0" applyFont="1" applyFill="1" applyBorder="1" applyAlignment="1">
      <alignment vertical="center" wrapText="1"/>
    </xf>
    <xf numFmtId="0" fontId="87" fillId="38" borderId="19" xfId="0" applyFont="1" applyFill="1" applyBorder="1" applyAlignment="1">
      <alignment vertical="center" wrapText="1"/>
    </xf>
    <xf numFmtId="0" fontId="83" fillId="38" borderId="10" xfId="0" applyFont="1" applyFill="1" applyBorder="1" applyAlignment="1">
      <alignment vertical="center" wrapText="1"/>
    </xf>
    <xf numFmtId="0" fontId="83" fillId="38" borderId="13" xfId="0" applyFont="1" applyFill="1" applyBorder="1" applyAlignment="1">
      <alignment vertical="center" wrapText="1"/>
    </xf>
    <xf numFmtId="0" fontId="87" fillId="38" borderId="10" xfId="0" applyFont="1" applyFill="1" applyBorder="1" applyAlignment="1">
      <alignment vertical="center" wrapText="1"/>
    </xf>
    <xf numFmtId="0" fontId="83" fillId="38" borderId="18" xfId="0" applyFont="1" applyFill="1" applyBorder="1" applyAlignment="1">
      <alignment vertical="center" wrapText="1"/>
    </xf>
    <xf numFmtId="0" fontId="88" fillId="39" borderId="17" xfId="0" applyFont="1" applyFill="1" applyBorder="1" applyAlignment="1">
      <alignment vertical="center" wrapText="1"/>
    </xf>
    <xf numFmtId="0" fontId="88" fillId="39" borderId="10" xfId="0" applyFont="1" applyFill="1" applyBorder="1" applyAlignment="1">
      <alignment vertical="center" wrapText="1"/>
    </xf>
    <xf numFmtId="0" fontId="87" fillId="38" borderId="13" xfId="0" applyFont="1" applyFill="1" applyBorder="1" applyAlignment="1">
      <alignment vertical="center" wrapText="1"/>
    </xf>
    <xf numFmtId="0" fontId="88" fillId="40" borderId="17" xfId="0" applyFont="1" applyFill="1" applyBorder="1" applyAlignment="1">
      <alignment vertical="center" wrapText="1"/>
    </xf>
    <xf numFmtId="0" fontId="88" fillId="40" borderId="10" xfId="0" applyFont="1" applyFill="1" applyBorder="1" applyAlignment="1">
      <alignment vertical="center" wrapText="1"/>
    </xf>
    <xf numFmtId="0" fontId="88" fillId="40" borderId="20" xfId="0" applyFont="1" applyFill="1" applyBorder="1" applyAlignment="1">
      <alignment vertical="center" wrapText="1"/>
    </xf>
    <xf numFmtId="0" fontId="88" fillId="40" borderId="19" xfId="0" applyFont="1" applyFill="1" applyBorder="1" applyAlignment="1">
      <alignment vertical="center" wrapText="1"/>
    </xf>
    <xf numFmtId="10" fontId="89" fillId="38" borderId="10" xfId="0" applyNumberFormat="1" applyFont="1" applyFill="1" applyBorder="1" applyAlignment="1">
      <alignment vertical="center" wrapText="1"/>
    </xf>
    <xf numFmtId="178" fontId="89" fillId="38" borderId="10" xfId="0" applyNumberFormat="1" applyFont="1" applyFill="1" applyBorder="1" applyAlignment="1">
      <alignment vertical="center" wrapText="1"/>
    </xf>
    <xf numFmtId="178" fontId="89" fillId="39" borderId="10" xfId="0" applyNumberFormat="1" applyFont="1" applyFill="1" applyBorder="1" applyAlignment="1">
      <alignment vertical="center" wrapText="1"/>
    </xf>
    <xf numFmtId="178" fontId="89" fillId="40" borderId="10" xfId="0" applyNumberFormat="1" applyFont="1" applyFill="1" applyBorder="1" applyAlignment="1">
      <alignment vertical="center" wrapText="1"/>
    </xf>
    <xf numFmtId="10" fontId="89" fillId="38" borderId="19" xfId="0" applyNumberFormat="1" applyFont="1" applyFill="1" applyBorder="1" applyAlignment="1">
      <alignment vertical="center" wrapText="1"/>
    </xf>
    <xf numFmtId="178" fontId="89" fillId="38" borderId="19" xfId="0" applyNumberFormat="1" applyFont="1" applyFill="1" applyBorder="1" applyAlignment="1">
      <alignment vertical="center" wrapText="1"/>
    </xf>
    <xf numFmtId="2" fontId="83" fillId="38" borderId="21" xfId="0" applyNumberFormat="1" applyFont="1" applyFill="1" applyBorder="1" applyAlignment="1">
      <alignment vertical="center" wrapText="1"/>
    </xf>
    <xf numFmtId="178" fontId="89" fillId="40" borderId="19" xfId="0" applyNumberFormat="1" applyFont="1" applyFill="1" applyBorder="1" applyAlignment="1">
      <alignment vertical="center" wrapText="1"/>
    </xf>
    <xf numFmtId="0" fontId="90" fillId="36" borderId="10" xfId="0" applyFont="1" applyFill="1" applyBorder="1" applyAlignment="1">
      <alignment horizontal="center" vertical="top" wrapText="1"/>
    </xf>
    <xf numFmtId="0" fontId="85" fillId="36" borderId="10" xfId="0" applyFont="1" applyFill="1" applyBorder="1" applyAlignment="1">
      <alignment horizontal="center" vertical="top" wrapText="1"/>
    </xf>
    <xf numFmtId="0" fontId="84" fillId="0" borderId="0" xfId="0" applyFont="1" applyAlignment="1">
      <alignment horizontal="justify"/>
    </xf>
    <xf numFmtId="0" fontId="83" fillId="41" borderId="10" xfId="0" applyFont="1" applyFill="1" applyBorder="1" applyAlignment="1">
      <alignment horizontal="right" vertical="center" wrapText="1"/>
    </xf>
    <xf numFmtId="9" fontId="91" fillId="41" borderId="10" xfId="0" applyNumberFormat="1" applyFont="1" applyFill="1" applyBorder="1" applyAlignment="1">
      <alignment horizontal="right" vertical="center" wrapText="1"/>
    </xf>
    <xf numFmtId="0" fontId="23" fillId="41" borderId="10" xfId="0" applyFont="1" applyFill="1" applyBorder="1" applyAlignment="1">
      <alignment horizontal="right" vertical="center" wrapText="1"/>
    </xf>
    <xf numFmtId="0" fontId="25" fillId="41" borderId="10" xfId="0" applyFont="1" applyFill="1" applyBorder="1" applyAlignment="1">
      <alignment horizontal="right" vertical="center" wrapText="1"/>
    </xf>
    <xf numFmtId="1" fontId="83" fillId="41" borderId="10" xfId="0" applyNumberFormat="1" applyFont="1" applyFill="1" applyBorder="1" applyAlignment="1">
      <alignment horizontal="right" vertical="center" wrapText="1"/>
    </xf>
    <xf numFmtId="0" fontId="85" fillId="36" borderId="18" xfId="0" applyFont="1" applyFill="1" applyBorder="1" applyAlignment="1">
      <alignment horizontal="center" vertical="top" wrapText="1"/>
    </xf>
    <xf numFmtId="0" fontId="85" fillId="36" borderId="13" xfId="0" applyFont="1" applyFill="1" applyBorder="1" applyAlignment="1">
      <alignment horizontal="center" vertical="top" wrapText="1"/>
    </xf>
    <xf numFmtId="0" fontId="23" fillId="41" borderId="18" xfId="0" applyFont="1" applyFill="1" applyBorder="1" applyAlignment="1">
      <alignment horizontal="right" vertical="center" wrapText="1"/>
    </xf>
    <xf numFmtId="0" fontId="83" fillId="41" borderId="18" xfId="0" applyFont="1" applyFill="1" applyBorder="1" applyAlignment="1">
      <alignment horizontal="right" vertical="center" wrapText="1"/>
    </xf>
    <xf numFmtId="14" fontId="83" fillId="0" borderId="13" xfId="0" applyNumberFormat="1" applyFont="1" applyBorder="1" applyAlignment="1">
      <alignment horizontal="center" vertical="top" wrapText="1"/>
    </xf>
    <xf numFmtId="16" fontId="83" fillId="0" borderId="14" xfId="0" applyNumberFormat="1" applyFont="1" applyBorder="1" applyAlignment="1">
      <alignment horizontal="center" vertical="top" wrapText="1"/>
    </xf>
    <xf numFmtId="0" fontId="83" fillId="41" borderId="19" xfId="0" applyFont="1" applyFill="1" applyBorder="1" applyAlignment="1">
      <alignment horizontal="right" vertical="center" wrapText="1"/>
    </xf>
    <xf numFmtId="9" fontId="91" fillId="41" borderId="19" xfId="0" applyNumberFormat="1" applyFont="1" applyFill="1" applyBorder="1" applyAlignment="1">
      <alignment horizontal="right" vertical="center" wrapText="1"/>
    </xf>
    <xf numFmtId="0" fontId="23" fillId="41" borderId="19" xfId="0" applyFont="1" applyFill="1" applyBorder="1" applyAlignment="1">
      <alignment horizontal="right" vertical="center" wrapText="1"/>
    </xf>
    <xf numFmtId="0" fontId="25" fillId="41" borderId="19" xfId="0" applyFont="1" applyFill="1" applyBorder="1" applyAlignment="1">
      <alignment horizontal="right" vertical="center" wrapText="1"/>
    </xf>
    <xf numFmtId="0" fontId="23" fillId="41" borderId="21" xfId="0" applyFont="1" applyFill="1" applyBorder="1" applyAlignment="1">
      <alignment horizontal="right" vertical="center" wrapText="1"/>
    </xf>
    <xf numFmtId="0" fontId="85" fillId="36" borderId="15" xfId="0" applyFont="1" applyFill="1" applyBorder="1" applyAlignment="1">
      <alignment horizontal="center" vertical="top" wrapText="1"/>
    </xf>
    <xf numFmtId="0" fontId="83" fillId="0" borderId="16" xfId="0" applyFont="1" applyBorder="1" applyAlignment="1">
      <alignment horizontal="justify" vertical="top" wrapText="1"/>
    </xf>
    <xf numFmtId="0" fontId="90" fillId="36" borderId="13" xfId="0" applyFont="1" applyFill="1" applyBorder="1" applyAlignment="1">
      <alignment horizontal="center" vertical="top" wrapText="1"/>
    </xf>
    <xf numFmtId="0" fontId="83" fillId="41" borderId="13" xfId="0" applyFont="1" applyFill="1" applyBorder="1" applyAlignment="1">
      <alignment horizontal="right" vertical="center" wrapText="1"/>
    </xf>
    <xf numFmtId="0" fontId="23" fillId="41" borderId="13" xfId="0" applyFont="1" applyFill="1" applyBorder="1" applyAlignment="1">
      <alignment horizontal="right" vertical="center" wrapText="1"/>
    </xf>
    <xf numFmtId="1" fontId="83" fillId="41" borderId="13" xfId="0" applyNumberFormat="1" applyFont="1" applyFill="1" applyBorder="1" applyAlignment="1">
      <alignment horizontal="right" vertical="center" wrapText="1"/>
    </xf>
    <xf numFmtId="0" fontId="83" fillId="41" borderId="14" xfId="0" applyFont="1" applyFill="1" applyBorder="1" applyAlignment="1">
      <alignment horizontal="right" vertical="center" wrapText="1"/>
    </xf>
    <xf numFmtId="0" fontId="0" fillId="36" borderId="12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83" fillId="42" borderId="13" xfId="0" applyFont="1" applyFill="1" applyBorder="1" applyAlignment="1">
      <alignment horizontal="right" vertical="center" wrapText="1"/>
    </xf>
    <xf numFmtId="0" fontId="83" fillId="42" borderId="10" xfId="0" applyFont="1" applyFill="1" applyBorder="1" applyAlignment="1">
      <alignment horizontal="right" vertical="center" wrapText="1"/>
    </xf>
    <xf numFmtId="9" fontId="91" fillId="42" borderId="10" xfId="0" applyNumberFormat="1" applyFont="1" applyFill="1" applyBorder="1" applyAlignment="1">
      <alignment horizontal="right" vertical="center" wrapText="1"/>
    </xf>
    <xf numFmtId="0" fontId="23" fillId="42" borderId="10" xfId="0" applyFont="1" applyFill="1" applyBorder="1" applyAlignment="1">
      <alignment horizontal="right" vertical="center" wrapText="1"/>
    </xf>
    <xf numFmtId="0" fontId="25" fillId="42" borderId="10" xfId="0" applyFont="1" applyFill="1" applyBorder="1" applyAlignment="1">
      <alignment horizontal="right" vertical="center" wrapText="1"/>
    </xf>
    <xf numFmtId="0" fontId="23" fillId="42" borderId="18" xfId="0" applyFont="1" applyFill="1" applyBorder="1" applyAlignment="1">
      <alignment horizontal="right" vertical="center" wrapText="1"/>
    </xf>
    <xf numFmtId="0" fontId="23" fillId="42" borderId="13" xfId="0" applyFont="1" applyFill="1" applyBorder="1" applyAlignment="1">
      <alignment horizontal="right" vertical="center" wrapText="1"/>
    </xf>
    <xf numFmtId="1" fontId="83" fillId="42" borderId="13" xfId="0" applyNumberFormat="1" applyFont="1" applyFill="1" applyBorder="1" applyAlignment="1">
      <alignment horizontal="right" vertical="center" wrapText="1"/>
    </xf>
    <xf numFmtId="1" fontId="83" fillId="42" borderId="10" xfId="0" applyNumberFormat="1" applyFont="1" applyFill="1" applyBorder="1" applyAlignment="1">
      <alignment horizontal="right" vertical="center" wrapText="1"/>
    </xf>
    <xf numFmtId="0" fontId="83" fillId="42" borderId="18" xfId="0" applyFont="1" applyFill="1" applyBorder="1" applyAlignment="1">
      <alignment horizontal="right" vertical="center" wrapText="1"/>
    </xf>
    <xf numFmtId="0" fontId="83" fillId="42" borderId="14" xfId="0" applyFont="1" applyFill="1" applyBorder="1" applyAlignment="1">
      <alignment horizontal="right" vertical="center" wrapText="1"/>
    </xf>
    <xf numFmtId="0" fontId="83" fillId="42" borderId="19" xfId="0" applyFont="1" applyFill="1" applyBorder="1" applyAlignment="1">
      <alignment horizontal="right" vertical="center" wrapText="1"/>
    </xf>
    <xf numFmtId="9" fontId="91" fillId="42" borderId="19" xfId="0" applyNumberFormat="1" applyFont="1" applyFill="1" applyBorder="1" applyAlignment="1">
      <alignment horizontal="right" vertical="center" wrapText="1"/>
    </xf>
    <xf numFmtId="0" fontId="23" fillId="42" borderId="19" xfId="0" applyFont="1" applyFill="1" applyBorder="1" applyAlignment="1">
      <alignment horizontal="right" vertical="center" wrapText="1"/>
    </xf>
    <xf numFmtId="0" fontId="15" fillId="4" borderId="10" xfId="56" applyFont="1" applyFill="1" applyBorder="1" applyAlignment="1">
      <alignment horizontal="center" vertical="center" wrapText="1"/>
      <protection/>
    </xf>
    <xf numFmtId="0" fontId="16" fillId="4" borderId="10" xfId="56" applyFont="1" applyFill="1" applyBorder="1" applyAlignment="1">
      <alignment vertical="top" wrapText="1"/>
      <protection/>
    </xf>
    <xf numFmtId="177" fontId="83" fillId="38" borderId="18" xfId="0" applyNumberFormat="1" applyFont="1" applyFill="1" applyBorder="1" applyAlignment="1">
      <alignment vertical="center" wrapText="1"/>
    </xf>
    <xf numFmtId="0" fontId="92" fillId="37" borderId="10" xfId="0" applyFont="1" applyFill="1" applyBorder="1" applyAlignment="1">
      <alignment horizontal="center" vertical="top" wrapText="1"/>
    </xf>
    <xf numFmtId="2" fontId="87" fillId="38" borderId="21" xfId="0" applyNumberFormat="1" applyFont="1" applyFill="1" applyBorder="1" applyAlignment="1">
      <alignment vertical="center" wrapText="1"/>
    </xf>
    <xf numFmtId="0" fontId="15" fillId="36" borderId="10" xfId="56" applyFont="1" applyFill="1" applyBorder="1" applyAlignment="1">
      <alignment horizontal="center" vertical="center" wrapText="1"/>
      <protection/>
    </xf>
    <xf numFmtId="0" fontId="0" fillId="43" borderId="11" xfId="0" applyFill="1" applyBorder="1" applyAlignment="1">
      <alignment horizontal="center" vertical="center" wrapText="1"/>
    </xf>
    <xf numFmtId="0" fontId="27" fillId="0" borderId="22" xfId="53" applyFont="1" applyFill="1" applyBorder="1" applyAlignment="1">
      <alignment horizontal="center" vertical="center" wrapText="1"/>
      <protection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0" fontId="0" fillId="43" borderId="12" xfId="0" applyFill="1" applyBorder="1" applyAlignment="1">
      <alignment horizontal="center" vertical="center" wrapText="1"/>
    </xf>
    <xf numFmtId="14" fontId="27" fillId="0" borderId="22" xfId="53" applyNumberFormat="1" applyFont="1" applyFill="1" applyBorder="1" applyAlignment="1">
      <alignment horizontal="center" vertical="center" wrapText="1"/>
      <protection/>
    </xf>
    <xf numFmtId="14" fontId="0" fillId="43" borderId="12" xfId="0" applyNumberForma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14" fontId="27" fillId="0" borderId="10" xfId="53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20" fillId="43" borderId="0" xfId="0" applyFont="1" applyFill="1" applyAlignment="1">
      <alignment/>
    </xf>
    <xf numFmtId="9" fontId="91" fillId="44" borderId="10" xfId="0" applyNumberFormat="1" applyFont="1" applyFill="1" applyBorder="1" applyAlignment="1">
      <alignment horizontal="right" vertical="center" wrapText="1"/>
    </xf>
    <xf numFmtId="0" fontId="23" fillId="44" borderId="10" xfId="0" applyFont="1" applyFill="1" applyBorder="1" applyAlignment="1">
      <alignment horizontal="right" vertical="center" wrapText="1"/>
    </xf>
    <xf numFmtId="0" fontId="23" fillId="44" borderId="18" xfId="0" applyFont="1" applyFill="1" applyBorder="1" applyAlignment="1">
      <alignment horizontal="right" vertical="center" wrapText="1"/>
    </xf>
    <xf numFmtId="0" fontId="23" fillId="42" borderId="23" xfId="0" applyFont="1" applyFill="1" applyBorder="1" applyAlignment="1">
      <alignment horizontal="right" vertical="center" wrapText="1"/>
    </xf>
    <xf numFmtId="0" fontId="23" fillId="42" borderId="17" xfId="0" applyFont="1" applyFill="1" applyBorder="1" applyAlignment="1">
      <alignment horizontal="right" vertical="center" wrapText="1"/>
    </xf>
    <xf numFmtId="1" fontId="83" fillId="44" borderId="13" xfId="0" applyNumberFormat="1" applyFont="1" applyFill="1" applyBorder="1" applyAlignment="1">
      <alignment horizontal="right" vertical="center" wrapText="1"/>
    </xf>
    <xf numFmtId="1" fontId="83" fillId="4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3" borderId="0" xfId="0" applyFont="1" applyFill="1" applyAlignment="1">
      <alignment horizontal="center"/>
    </xf>
    <xf numFmtId="0" fontId="16" fillId="44" borderId="10" xfId="56" applyFont="1" applyFill="1" applyBorder="1" applyAlignment="1">
      <alignment vertical="top" wrapText="1"/>
      <protection/>
    </xf>
    <xf numFmtId="0" fontId="16" fillId="0" borderId="10" xfId="56" applyFont="1" applyBorder="1" applyAlignment="1">
      <alignment horizontal="center" vertical="top" wrapText="1"/>
      <protection/>
    </xf>
    <xf numFmtId="0" fontId="9" fillId="0" borderId="0" xfId="0" applyFont="1" applyBorder="1" applyAlignment="1">
      <alignment horizontal="center"/>
    </xf>
    <xf numFmtId="176" fontId="0" fillId="0" borderId="0" xfId="0" applyNumberFormat="1" applyAlignment="1">
      <alignment/>
    </xf>
    <xf numFmtId="178" fontId="89" fillId="44" borderId="19" xfId="0" applyNumberFormat="1" applyFont="1" applyFill="1" applyBorder="1" applyAlignment="1">
      <alignment vertical="center" wrapText="1"/>
    </xf>
    <xf numFmtId="0" fontId="88" fillId="44" borderId="19" xfId="0" applyFont="1" applyFill="1" applyBorder="1" applyAlignment="1">
      <alignment vertical="center" wrapText="1"/>
    </xf>
    <xf numFmtId="177" fontId="88" fillId="44" borderId="19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77" fontId="88" fillId="40" borderId="20" xfId="0" applyNumberFormat="1" applyFont="1" applyFill="1" applyBorder="1" applyAlignment="1">
      <alignment vertical="center" wrapText="1"/>
    </xf>
    <xf numFmtId="2" fontId="86" fillId="0" borderId="0" xfId="0" applyNumberFormat="1" applyFont="1" applyAlignment="1">
      <alignment/>
    </xf>
    <xf numFmtId="0" fontId="0" fillId="34" borderId="10" xfId="0" applyFill="1" applyBorder="1" applyAlignment="1">
      <alignment horizontal="center" vertical="top" wrapText="1"/>
    </xf>
    <xf numFmtId="0" fontId="0" fillId="34" borderId="13" xfId="58" applyNumberFormat="1" applyFont="1" applyFill="1" applyBorder="1" applyAlignment="1">
      <alignment horizontal="center" vertical="center" wrapText="1"/>
      <protection/>
    </xf>
    <xf numFmtId="0" fontId="0" fillId="34" borderId="10" xfId="58" applyNumberFormat="1" applyFont="1" applyFill="1" applyBorder="1" applyAlignment="1">
      <alignment horizontal="center" vertical="center" wrapText="1"/>
      <protection/>
    </xf>
    <xf numFmtId="0" fontId="0" fillId="34" borderId="18" xfId="58" applyNumberFormat="1" applyFont="1" applyFill="1" applyBorder="1" applyAlignment="1">
      <alignment horizontal="center" vertical="center" wrapText="1"/>
      <protection/>
    </xf>
    <xf numFmtId="0" fontId="0" fillId="34" borderId="15" xfId="58" applyNumberFormat="1" applyFont="1" applyFill="1" applyBorder="1" applyAlignment="1">
      <alignment horizontal="center" vertical="center" wrapText="1"/>
      <protection/>
    </xf>
    <xf numFmtId="0" fontId="0" fillId="0" borderId="13" xfId="58" applyNumberFormat="1" applyFont="1" applyFill="1" applyBorder="1" applyAlignment="1">
      <alignment horizontal="center" vertical="center" wrapText="1"/>
      <protection/>
    </xf>
    <xf numFmtId="0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8" xfId="58" applyNumberFormat="1" applyFont="1" applyFill="1" applyBorder="1" applyAlignment="1">
      <alignment horizontal="center" vertical="center" wrapText="1"/>
      <protection/>
    </xf>
    <xf numFmtId="0" fontId="0" fillId="45" borderId="10" xfId="58" applyNumberFormat="1" applyFont="1" applyFill="1" applyBorder="1" applyAlignment="1">
      <alignment horizontal="center" vertical="center" wrapText="1"/>
      <protection/>
    </xf>
    <xf numFmtId="0" fontId="0" fillId="45" borderId="15" xfId="58" applyNumberFormat="1" applyFont="1" applyFill="1" applyBorder="1" applyAlignment="1">
      <alignment horizontal="center" vertical="center" wrapText="1"/>
      <protection/>
    </xf>
    <xf numFmtId="0" fontId="0" fillId="0" borderId="15" xfId="58" applyNumberFormat="1" applyFont="1" applyFill="1" applyBorder="1" applyAlignment="1">
      <alignment horizontal="center" vertical="center" wrapText="1"/>
      <protection/>
    </xf>
    <xf numFmtId="0" fontId="74" fillId="0" borderId="14" xfId="58" applyNumberFormat="1" applyFont="1" applyFill="1" applyBorder="1" applyAlignment="1">
      <alignment horizontal="center" vertical="center" wrapText="1"/>
      <protection/>
    </xf>
    <xf numFmtId="0" fontId="74" fillId="0" borderId="19" xfId="58" applyNumberFormat="1" applyFont="1" applyFill="1" applyBorder="1" applyAlignment="1">
      <alignment horizontal="center" vertical="center" wrapText="1"/>
      <protection/>
    </xf>
    <xf numFmtId="0" fontId="74" fillId="0" borderId="21" xfId="58" applyNumberFormat="1" applyFont="1" applyFill="1" applyBorder="1" applyAlignment="1">
      <alignment horizontal="center" vertical="center" wrapText="1"/>
      <protection/>
    </xf>
    <xf numFmtId="0" fontId="74" fillId="0" borderId="16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93" fillId="34" borderId="10" xfId="0" applyFont="1" applyFill="1" applyBorder="1" applyAlignment="1">
      <alignment horizontal="center" wrapText="1"/>
    </xf>
    <xf numFmtId="0" fontId="94" fillId="34" borderId="10" xfId="0" applyFont="1" applyFill="1" applyBorder="1" applyAlignment="1">
      <alignment horizontal="center" wrapText="1"/>
    </xf>
    <xf numFmtId="0" fontId="94" fillId="34" borderId="1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95" fillId="0" borderId="0" xfId="0" applyFont="1" applyFill="1" applyBorder="1" applyAlignment="1">
      <alignment horizontal="left" wrapText="1"/>
    </xf>
    <xf numFmtId="0" fontId="9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74" fillId="0" borderId="0" xfId="0" applyFont="1" applyFill="1" applyBorder="1" applyAlignment="1">
      <alignment textRotation="90"/>
    </xf>
    <xf numFmtId="0" fontId="74" fillId="0" borderId="0" xfId="0" applyFont="1" applyBorder="1" applyAlignment="1">
      <alignment horizontal="left" wrapText="1"/>
    </xf>
    <xf numFmtId="0" fontId="74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 wrapText="1"/>
    </xf>
    <xf numFmtId="49" fontId="0" fillId="45" borderId="10" xfId="0" applyNumberFormat="1" applyFont="1" applyFill="1" applyBorder="1" applyAlignment="1">
      <alignment horizontal="center" vertical="center"/>
    </xf>
    <xf numFmtId="49" fontId="0" fillId="45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45" borderId="15" xfId="0" applyFont="1" applyFill="1" applyBorder="1" applyAlignment="1">
      <alignment horizontal="center" vertical="center"/>
    </xf>
    <xf numFmtId="0" fontId="0" fillId="45" borderId="17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7" fontId="16" fillId="4" borderId="10" xfId="56" applyNumberFormat="1" applyFont="1" applyFill="1" applyBorder="1" applyAlignment="1">
      <alignment vertical="top" wrapText="1"/>
      <protection/>
    </xf>
    <xf numFmtId="0" fontId="96" fillId="0" borderId="10" xfId="56" applyFont="1" applyBorder="1" applyAlignment="1">
      <alignment vertical="top" wrapText="1"/>
      <protection/>
    </xf>
    <xf numFmtId="2" fontId="96" fillId="0" borderId="10" xfId="56" applyNumberFormat="1" applyFont="1" applyBorder="1" applyAlignment="1">
      <alignment vertical="top" wrapText="1"/>
      <protection/>
    </xf>
    <xf numFmtId="177" fontId="96" fillId="0" borderId="10" xfId="56" applyNumberFormat="1" applyFont="1" applyBorder="1" applyAlignment="1">
      <alignment vertical="top" wrapText="1"/>
      <protection/>
    </xf>
    <xf numFmtId="177" fontId="16" fillId="44" borderId="10" xfId="56" applyNumberFormat="1" applyFont="1" applyFill="1" applyBorder="1" applyAlignment="1">
      <alignment vertical="top" wrapText="1"/>
      <protection/>
    </xf>
    <xf numFmtId="2" fontId="81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45" borderId="10" xfId="0" applyFont="1" applyFill="1" applyBorder="1" applyAlignment="1">
      <alignment horizontal="center" vertical="top" wrapText="1"/>
    </xf>
    <xf numFmtId="0" fontId="0" fillId="45" borderId="10" xfId="0" applyFill="1" applyBorder="1" applyAlignment="1">
      <alignment horizontal="center" vertical="top" wrapText="1"/>
    </xf>
    <xf numFmtId="0" fontId="97" fillId="34" borderId="10" xfId="0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vertical="top" wrapText="1"/>
    </xf>
    <xf numFmtId="177" fontId="0" fillId="0" borderId="10" xfId="0" applyNumberFormat="1" applyBorder="1" applyAlignment="1">
      <alignment vertical="top" wrapText="1"/>
    </xf>
    <xf numFmtId="1" fontId="0" fillId="0" borderId="0" xfId="0" applyNumberFormat="1" applyAlignment="1">
      <alignment/>
    </xf>
    <xf numFmtId="0" fontId="74" fillId="0" borderId="0" xfId="0" applyFont="1" applyAlignment="1">
      <alignment/>
    </xf>
    <xf numFmtId="0" fontId="74" fillId="46" borderId="0" xfId="0" applyFont="1" applyFill="1" applyAlignment="1">
      <alignment/>
    </xf>
    <xf numFmtId="1" fontId="74" fillId="46" borderId="0" xfId="0" applyNumberFormat="1" applyFont="1" applyFill="1" applyAlignment="1">
      <alignment/>
    </xf>
    <xf numFmtId="0" fontId="0" fillId="46" borderId="0" xfId="0" applyFill="1" applyAlignment="1">
      <alignment/>
    </xf>
    <xf numFmtId="2" fontId="88" fillId="40" borderId="17" xfId="0" applyNumberFormat="1" applyFont="1" applyFill="1" applyBorder="1" applyAlignment="1">
      <alignment vertical="center" wrapText="1"/>
    </xf>
    <xf numFmtId="177" fontId="87" fillId="38" borderId="14" xfId="0" applyNumberFormat="1" applyFont="1" applyFill="1" applyBorder="1" applyAlignment="1">
      <alignment vertical="center" wrapText="1"/>
    </xf>
    <xf numFmtId="177" fontId="87" fillId="38" borderId="19" xfId="0" applyNumberFormat="1" applyFont="1" applyFill="1" applyBorder="1" applyAlignment="1">
      <alignment vertical="center" wrapText="1"/>
    </xf>
    <xf numFmtId="177" fontId="88" fillId="44" borderId="20" xfId="0" applyNumberFormat="1" applyFont="1" applyFill="1" applyBorder="1" applyAlignment="1">
      <alignment vertical="center" wrapText="1"/>
    </xf>
    <xf numFmtId="0" fontId="97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176" fontId="0" fillId="4" borderId="10" xfId="0" applyNumberFormat="1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13" fillId="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8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47" borderId="10" xfId="0" applyFont="1" applyFill="1" applyBorder="1" applyAlignment="1">
      <alignment horizontal="center" vertical="center" textRotation="90" wrapText="1"/>
    </xf>
    <xf numFmtId="0" fontId="27" fillId="48" borderId="10" xfId="0" applyFont="1" applyFill="1" applyBorder="1" applyAlignment="1">
      <alignment horizontal="center" vertical="center" wrapText="1"/>
    </xf>
    <xf numFmtId="0" fontId="98" fillId="48" borderId="10" xfId="0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0" fontId="6" fillId="45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47" borderId="10" xfId="0" applyFont="1" applyFill="1" applyBorder="1" applyAlignment="1">
      <alignment vertical="center" wrapText="1"/>
    </xf>
    <xf numFmtId="0" fontId="0" fillId="48" borderId="10" xfId="0" applyFont="1" applyFill="1" applyBorder="1" applyAlignment="1">
      <alignment vertical="center" wrapText="1"/>
    </xf>
    <xf numFmtId="2" fontId="0" fillId="48" borderId="10" xfId="0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" fontId="0" fillId="47" borderId="10" xfId="0" applyNumberFormat="1" applyFont="1" applyFill="1" applyBorder="1" applyAlignment="1">
      <alignment vertical="center" wrapText="1"/>
    </xf>
    <xf numFmtId="1" fontId="0" fillId="48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NumberFormat="1" applyFont="1" applyFill="1" applyBorder="1" applyAlignment="1">
      <alignment horizontal="center" vertical="center" wrapText="1"/>
    </xf>
    <xf numFmtId="14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 wrapText="1"/>
    </xf>
    <xf numFmtId="176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/>
    </xf>
    <xf numFmtId="0" fontId="6" fillId="49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 wrapText="1"/>
    </xf>
    <xf numFmtId="183" fontId="30" fillId="0" borderId="10" xfId="0" applyNumberFormat="1" applyFont="1" applyFill="1" applyBorder="1" applyAlignment="1">
      <alignment horizontal="center" vertical="center"/>
    </xf>
    <xf numFmtId="183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Border="1" applyAlignment="1">
      <alignment horizontal="center" vertical="center" wrapText="1"/>
    </xf>
    <xf numFmtId="0" fontId="31" fillId="47" borderId="10" xfId="0" applyNumberFormat="1" applyFont="1" applyFill="1" applyBorder="1" applyAlignment="1">
      <alignment horizontal="center" vertical="center" wrapText="1"/>
    </xf>
    <xf numFmtId="1" fontId="31" fillId="48" borderId="10" xfId="0" applyNumberFormat="1" applyFont="1" applyFill="1" applyBorder="1" applyAlignment="1">
      <alignment horizontal="center" vertical="center" wrapText="1"/>
    </xf>
    <xf numFmtId="2" fontId="31" fillId="48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31" fillId="47" borderId="10" xfId="0" applyNumberFormat="1" applyFont="1" applyFill="1" applyBorder="1" applyAlignment="1">
      <alignment horizontal="center" vertical="center" wrapText="1"/>
    </xf>
    <xf numFmtId="176" fontId="31" fillId="48" borderId="10" xfId="0" applyNumberFormat="1" applyFont="1" applyFill="1" applyBorder="1" applyAlignment="1">
      <alignment horizontal="center" vertical="center" wrapText="1"/>
    </xf>
    <xf numFmtId="2" fontId="30" fillId="47" borderId="10" xfId="0" applyNumberFormat="1" applyFont="1" applyFill="1" applyBorder="1" applyAlignment="1">
      <alignment horizontal="center" vertical="center"/>
    </xf>
    <xf numFmtId="2" fontId="30" fillId="48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vertical="top"/>
    </xf>
    <xf numFmtId="0" fontId="35" fillId="19" borderId="10" xfId="0" applyFont="1" applyFill="1" applyBorder="1" applyAlignment="1" applyProtection="1">
      <alignment horizontal="center" vertical="center" wrapText="1"/>
      <protection locked="0"/>
    </xf>
    <xf numFmtId="0" fontId="99" fillId="19" borderId="24" xfId="0" applyFont="1" applyFill="1" applyBorder="1" applyAlignment="1" applyProtection="1">
      <alignment horizontal="center" vertical="center" wrapText="1"/>
      <protection locked="0"/>
    </xf>
    <xf numFmtId="0" fontId="99" fillId="19" borderId="10" xfId="0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vertical="center" wrapText="1"/>
    </xf>
    <xf numFmtId="183" fontId="81" fillId="0" borderId="10" xfId="0" applyNumberFormat="1" applyFont="1" applyBorder="1" applyAlignment="1">
      <alignment vertical="center" wrapText="1"/>
    </xf>
    <xf numFmtId="0" fontId="81" fillId="47" borderId="10" xfId="0" applyFont="1" applyFill="1" applyBorder="1" applyAlignment="1">
      <alignment vertical="center" wrapText="1"/>
    </xf>
    <xf numFmtId="0" fontId="81" fillId="48" borderId="10" xfId="0" applyFont="1" applyFill="1" applyBorder="1" applyAlignment="1">
      <alignment vertical="center" wrapText="1"/>
    </xf>
    <xf numFmtId="0" fontId="99" fillId="45" borderId="24" xfId="0" applyFont="1" applyFill="1" applyBorder="1" applyAlignment="1" applyProtection="1">
      <alignment horizontal="center" vertical="center" wrapText="1"/>
      <protection locked="0"/>
    </xf>
    <xf numFmtId="0" fontId="99" fillId="45" borderId="10" xfId="0" applyFont="1" applyFill="1" applyBorder="1" applyAlignment="1" applyProtection="1">
      <alignment horizontal="center" vertical="center" wrapText="1"/>
      <protection locked="0"/>
    </xf>
    <xf numFmtId="0" fontId="99" fillId="45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/>
    </xf>
    <xf numFmtId="0" fontId="35" fillId="45" borderId="10" xfId="0" applyFont="1" applyFill="1" applyBorder="1" applyAlignment="1">
      <alignment horizontal="center" vertical="center" wrapText="1"/>
    </xf>
    <xf numFmtId="14" fontId="35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45" borderId="10" xfId="0" applyFont="1" applyFill="1" applyBorder="1" applyAlignment="1" applyProtection="1">
      <alignment horizontal="left" vertical="center" wrapText="1"/>
      <protection locked="0"/>
    </xf>
    <xf numFmtId="0" fontId="35" fillId="45" borderId="10" xfId="0" applyFont="1" applyFill="1" applyBorder="1" applyAlignment="1" applyProtection="1">
      <alignment horizontal="center" vertical="center" wrapText="1"/>
      <protection locked="0"/>
    </xf>
    <xf numFmtId="183" fontId="35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99" fillId="45" borderId="10" xfId="0" applyFont="1" applyFill="1" applyBorder="1" applyAlignment="1">
      <alignment horizontal="center" vertical="center" wrapText="1"/>
    </xf>
    <xf numFmtId="14" fontId="99" fillId="45" borderId="24" xfId="0" applyNumberFormat="1" applyFont="1" applyFill="1" applyBorder="1" applyAlignment="1" applyProtection="1">
      <alignment horizontal="center" vertical="center" wrapText="1"/>
      <protection locked="0"/>
    </xf>
    <xf numFmtId="0" fontId="99" fillId="45" borderId="10" xfId="0" applyFont="1" applyFill="1" applyBorder="1" applyAlignment="1" applyProtection="1">
      <alignment horizontal="left" vertical="center" wrapText="1"/>
      <protection locked="0"/>
    </xf>
    <xf numFmtId="183" fontId="99" fillId="45" borderId="24" xfId="0" applyNumberFormat="1" applyFont="1" applyFill="1" applyBorder="1" applyAlignment="1" applyProtection="1">
      <alignment horizontal="center" vertical="center" wrapText="1"/>
      <protection locked="0"/>
    </xf>
    <xf numFmtId="176" fontId="99" fillId="45" borderId="24" xfId="0" applyNumberFormat="1" applyFont="1" applyFill="1" applyBorder="1" applyAlignment="1" applyProtection="1">
      <alignment horizontal="center" vertical="center" wrapText="1"/>
      <protection locked="0"/>
    </xf>
    <xf numFmtId="14" fontId="99" fillId="45" borderId="10" xfId="0" applyNumberFormat="1" applyFont="1" applyFill="1" applyBorder="1" applyAlignment="1" applyProtection="1">
      <alignment horizontal="center" vertical="center" wrapText="1"/>
      <protection locked="0"/>
    </xf>
    <xf numFmtId="183" fontId="99" fillId="45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Alignment="1">
      <alignment/>
    </xf>
    <xf numFmtId="183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83" fontId="0" fillId="0" borderId="10" xfId="0" applyNumberFormat="1" applyBorder="1" applyAlignment="1">
      <alignment vertical="center" wrapText="1"/>
    </xf>
    <xf numFmtId="176" fontId="74" fillId="0" borderId="10" xfId="0" applyNumberFormat="1" applyFont="1" applyBorder="1" applyAlignment="1">
      <alignment vertical="top" wrapText="1"/>
    </xf>
    <xf numFmtId="183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top" wrapText="1"/>
    </xf>
    <xf numFmtId="176" fontId="74" fillId="0" borderId="10" xfId="0" applyNumberFormat="1" applyFont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right" vertical="center" wrapText="1"/>
    </xf>
    <xf numFmtId="0" fontId="0" fillId="45" borderId="15" xfId="0" applyFont="1" applyFill="1" applyBorder="1" applyAlignment="1">
      <alignment horizontal="center" vertical="center"/>
    </xf>
    <xf numFmtId="0" fontId="0" fillId="45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45" borderId="15" xfId="0" applyFont="1" applyFill="1" applyBorder="1" applyAlignment="1">
      <alignment horizontal="center" wrapText="1"/>
    </xf>
    <xf numFmtId="0" fontId="0" fillId="45" borderId="17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176" fontId="0" fillId="4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74" fillId="0" borderId="0" xfId="0" applyFont="1" applyAlignment="1">
      <alignment horizontal="left" wrapText="1"/>
    </xf>
    <xf numFmtId="0" fontId="74" fillId="0" borderId="15" xfId="0" applyFont="1" applyBorder="1" applyAlignment="1">
      <alignment horizontal="right" vertical="center" wrapText="1"/>
    </xf>
    <xf numFmtId="0" fontId="74" fillId="0" borderId="25" xfId="0" applyFont="1" applyBorder="1" applyAlignment="1">
      <alignment horizontal="right" vertical="center" wrapText="1"/>
    </xf>
    <xf numFmtId="0" fontId="74" fillId="0" borderId="17" xfId="0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wrapText="1"/>
    </xf>
    <xf numFmtId="0" fontId="74" fillId="0" borderId="13" xfId="58" applyNumberFormat="1" applyFont="1" applyFill="1" applyBorder="1" applyAlignment="1">
      <alignment horizontal="center" vertical="center" wrapText="1"/>
      <protection/>
    </xf>
    <xf numFmtId="0" fontId="74" fillId="0" borderId="10" xfId="58" applyNumberFormat="1" applyFont="1" applyFill="1" applyBorder="1" applyAlignment="1">
      <alignment horizontal="center" vertical="center" wrapText="1"/>
      <protection/>
    </xf>
    <xf numFmtId="0" fontId="74" fillId="0" borderId="18" xfId="58" applyNumberFormat="1" applyFont="1" applyFill="1" applyBorder="1" applyAlignment="1">
      <alignment horizontal="center" vertical="center" wrapText="1"/>
      <protection/>
    </xf>
    <xf numFmtId="0" fontId="93" fillId="34" borderId="10" xfId="0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 vertical="center" wrapText="1"/>
    </xf>
    <xf numFmtId="0" fontId="93" fillId="34" borderId="15" xfId="0" applyFont="1" applyFill="1" applyBorder="1" applyAlignment="1">
      <alignment horizontal="center" wrapText="1"/>
    </xf>
    <xf numFmtId="0" fontId="93" fillId="34" borderId="17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13" xfId="58" applyFont="1" applyFill="1" applyBorder="1" applyAlignment="1">
      <alignment horizontal="center" vertical="center" wrapText="1"/>
      <protection/>
    </xf>
    <xf numFmtId="0" fontId="0" fillId="34" borderId="10" xfId="58" applyFont="1" applyFill="1" applyBorder="1" applyAlignment="1">
      <alignment horizontal="center" vertical="center" wrapText="1"/>
      <protection/>
    </xf>
    <xf numFmtId="0" fontId="0" fillId="34" borderId="18" xfId="58" applyFont="1" applyFill="1" applyBorder="1" applyAlignment="1">
      <alignment horizontal="center" vertical="center" wrapText="1"/>
      <protection/>
    </xf>
    <xf numFmtId="0" fontId="0" fillId="34" borderId="15" xfId="58" applyFont="1" applyFill="1" applyBorder="1" applyAlignment="1">
      <alignment horizontal="center" vertical="center" wrapText="1"/>
      <protection/>
    </xf>
    <xf numFmtId="0" fontId="74" fillId="0" borderId="23" xfId="58" applyNumberFormat="1" applyFont="1" applyFill="1" applyBorder="1" applyAlignment="1">
      <alignment horizontal="center" vertical="center" wrapText="1"/>
      <protection/>
    </xf>
    <xf numFmtId="0" fontId="74" fillId="0" borderId="25" xfId="58" applyNumberFormat="1" applyFont="1" applyFill="1" applyBorder="1" applyAlignment="1">
      <alignment horizontal="center" vertical="center" wrapText="1"/>
      <protection/>
    </xf>
    <xf numFmtId="0" fontId="74" fillId="0" borderId="29" xfId="58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43" borderId="0" xfId="0" applyFont="1" applyFill="1" applyAlignment="1">
      <alignment horizontal="center"/>
    </xf>
    <xf numFmtId="0" fontId="100" fillId="0" borderId="13" xfId="58" applyNumberFormat="1" applyFont="1" applyFill="1" applyBorder="1" applyAlignment="1">
      <alignment horizontal="center" vertical="center" wrapText="1"/>
      <protection/>
    </xf>
    <xf numFmtId="0" fontId="100" fillId="0" borderId="15" xfId="58" applyNumberFormat="1" applyFont="1" applyFill="1" applyBorder="1" applyAlignment="1">
      <alignment horizontal="center" vertical="center" wrapText="1"/>
      <protection/>
    </xf>
    <xf numFmtId="0" fontId="0" fillId="34" borderId="26" xfId="58" applyNumberFormat="1" applyFont="1" applyFill="1" applyBorder="1" applyAlignment="1">
      <alignment horizontal="center" vertical="center" wrapText="1"/>
      <protection/>
    </xf>
    <xf numFmtId="0" fontId="0" fillId="34" borderId="13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left" wrapText="1"/>
    </xf>
    <xf numFmtId="0" fontId="0" fillId="34" borderId="31" xfId="58" applyNumberFormat="1" applyFont="1" applyFill="1" applyBorder="1" applyAlignment="1">
      <alignment horizontal="center" vertical="center" wrapText="1"/>
      <protection/>
    </xf>
    <xf numFmtId="0" fontId="0" fillId="34" borderId="15" xfId="58" applyNumberFormat="1" applyFont="1" applyFill="1" applyBorder="1" applyAlignment="1">
      <alignment horizontal="center" vertical="center" wrapText="1"/>
      <protection/>
    </xf>
    <xf numFmtId="0" fontId="94" fillId="34" borderId="15" xfId="0" applyFont="1" applyFill="1" applyBorder="1" applyAlignment="1">
      <alignment horizontal="center" wrapText="1"/>
    </xf>
    <xf numFmtId="0" fontId="94" fillId="34" borderId="17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 wrapText="1"/>
    </xf>
    <xf numFmtId="0" fontId="93" fillId="0" borderId="15" xfId="0" applyFont="1" applyFill="1" applyBorder="1" applyAlignment="1">
      <alignment horizontal="left" wrapText="1"/>
    </xf>
    <xf numFmtId="0" fontId="93" fillId="0" borderId="25" xfId="0" applyFont="1" applyFill="1" applyBorder="1" applyAlignment="1">
      <alignment horizontal="left" wrapText="1"/>
    </xf>
    <xf numFmtId="0" fontId="93" fillId="0" borderId="17" xfId="0" applyFont="1" applyFill="1" applyBorder="1" applyAlignment="1">
      <alignment horizontal="left" wrapText="1"/>
    </xf>
    <xf numFmtId="0" fontId="100" fillId="0" borderId="14" xfId="58" applyNumberFormat="1" applyFont="1" applyFill="1" applyBorder="1" applyAlignment="1">
      <alignment horizontal="center" vertical="center" wrapText="1"/>
      <protection/>
    </xf>
    <xf numFmtId="0" fontId="100" fillId="0" borderId="16" xfId="58" applyNumberFormat="1" applyFont="1" applyFill="1" applyBorder="1" applyAlignment="1">
      <alignment horizontal="center" vertical="center" wrapText="1"/>
      <protection/>
    </xf>
    <xf numFmtId="49" fontId="100" fillId="0" borderId="32" xfId="58" applyNumberFormat="1" applyFont="1" applyFill="1" applyBorder="1" applyAlignment="1">
      <alignment horizontal="center" vertical="center" wrapText="1"/>
      <protection/>
    </xf>
    <xf numFmtId="49" fontId="100" fillId="0" borderId="33" xfId="58" applyNumberFormat="1" applyFont="1" applyFill="1" applyBorder="1" applyAlignment="1">
      <alignment horizontal="center" vertical="center" wrapText="1"/>
      <protection/>
    </xf>
    <xf numFmtId="49" fontId="100" fillId="0" borderId="34" xfId="58" applyNumberFormat="1" applyFont="1" applyFill="1" applyBorder="1" applyAlignment="1">
      <alignment horizontal="center" vertical="center" wrapText="1"/>
      <protection/>
    </xf>
    <xf numFmtId="0" fontId="0" fillId="0" borderId="35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37" xfId="58" applyFont="1" applyFill="1" applyBorder="1" applyAlignment="1">
      <alignment horizontal="center" vertical="center" wrapText="1"/>
      <protection/>
    </xf>
    <xf numFmtId="0" fontId="0" fillId="0" borderId="15" xfId="58" applyNumberFormat="1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23" xfId="58" applyFont="1" applyFill="1" applyBorder="1" applyAlignment="1">
      <alignment horizontal="center" vertical="center" wrapText="1"/>
      <protection/>
    </xf>
    <xf numFmtId="0" fontId="0" fillId="34" borderId="25" xfId="58" applyFont="1" applyFill="1" applyBorder="1" applyAlignment="1">
      <alignment horizontal="center" vertical="center" wrapText="1"/>
      <protection/>
    </xf>
    <xf numFmtId="0" fontId="0" fillId="34" borderId="17" xfId="58" applyFont="1" applyFill="1" applyBorder="1" applyAlignment="1">
      <alignment horizontal="center" vertical="center" wrapText="1"/>
      <protection/>
    </xf>
    <xf numFmtId="0" fontId="0" fillId="34" borderId="23" xfId="58" applyNumberFormat="1" applyFont="1" applyFill="1" applyBorder="1" applyAlignment="1">
      <alignment horizontal="center" vertical="center" wrapText="1"/>
      <protection/>
    </xf>
    <xf numFmtId="0" fontId="0" fillId="34" borderId="17" xfId="58" applyNumberFormat="1" applyFont="1" applyFill="1" applyBorder="1" applyAlignment="1">
      <alignment horizontal="center" vertical="center" wrapText="1"/>
      <protection/>
    </xf>
    <xf numFmtId="0" fontId="0" fillId="0" borderId="23" xfId="58" applyNumberFormat="1" applyFont="1" applyFill="1" applyBorder="1" applyAlignment="1">
      <alignment horizontal="center" vertical="center" wrapText="1"/>
      <protection/>
    </xf>
    <xf numFmtId="0" fontId="0" fillId="0" borderId="17" xfId="58" applyNumberFormat="1" applyFont="1" applyFill="1" applyBorder="1" applyAlignment="1">
      <alignment horizontal="center" vertical="center" wrapText="1"/>
      <protection/>
    </xf>
    <xf numFmtId="0" fontId="0" fillId="45" borderId="23" xfId="58" applyNumberFormat="1" applyFont="1" applyFill="1" applyBorder="1" applyAlignment="1">
      <alignment horizontal="center" vertical="center" wrapText="1"/>
      <protection/>
    </xf>
    <xf numFmtId="0" fontId="0" fillId="45" borderId="17" xfId="58" applyNumberFormat="1" applyFont="1" applyFill="1" applyBorder="1" applyAlignment="1">
      <alignment horizontal="center" vertical="center" wrapText="1"/>
      <protection/>
    </xf>
    <xf numFmtId="0" fontId="74" fillId="0" borderId="41" xfId="58" applyNumberFormat="1" applyFont="1" applyFill="1" applyBorder="1" applyAlignment="1">
      <alignment horizontal="center" vertical="center" wrapText="1"/>
      <protection/>
    </xf>
    <xf numFmtId="0" fontId="74" fillId="0" borderId="20" xfId="58" applyNumberFormat="1" applyFont="1" applyFill="1" applyBorder="1" applyAlignment="1">
      <alignment horizontal="center" vertical="center" wrapText="1"/>
      <protection/>
    </xf>
    <xf numFmtId="0" fontId="93" fillId="34" borderId="25" xfId="0" applyFont="1" applyFill="1" applyBorder="1" applyAlignment="1">
      <alignment horizontal="center" wrapText="1"/>
    </xf>
    <xf numFmtId="0" fontId="0" fillId="45" borderId="15" xfId="58" applyNumberFormat="1" applyFont="1" applyFill="1" applyBorder="1" applyAlignment="1">
      <alignment horizontal="center" vertical="center" wrapText="1"/>
      <protection/>
    </xf>
    <xf numFmtId="0" fontId="74" fillId="0" borderId="16" xfId="58" applyNumberFormat="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top" wrapText="1"/>
    </xf>
    <xf numFmtId="0" fontId="5" fillId="4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5" borderId="43" xfId="0" applyFont="1" applyFill="1" applyBorder="1" applyAlignment="1">
      <alignment vertical="center" wrapText="1"/>
    </xf>
    <xf numFmtId="0" fontId="6" fillId="35" borderId="44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15" fillId="36" borderId="10" xfId="56" applyFont="1" applyFill="1" applyBorder="1" applyAlignment="1">
      <alignment horizontal="center" vertical="center" wrapText="1"/>
      <protection/>
    </xf>
    <xf numFmtId="0" fontId="15" fillId="4" borderId="10" xfId="56" applyFont="1" applyFill="1" applyBorder="1" applyAlignment="1">
      <alignment horizontal="center" vertical="center" wrapText="1"/>
      <protection/>
    </xf>
    <xf numFmtId="0" fontId="16" fillId="4" borderId="24" xfId="56" applyFont="1" applyFill="1" applyBorder="1" applyAlignment="1">
      <alignment vertical="top" wrapText="1"/>
      <protection/>
    </xf>
    <xf numFmtId="0" fontId="16" fillId="4" borderId="42" xfId="56" applyFont="1" applyFill="1" applyBorder="1" applyAlignment="1">
      <alignment vertical="top" wrapText="1"/>
      <protection/>
    </xf>
    <xf numFmtId="0" fontId="16" fillId="4" borderId="22" xfId="56" applyFont="1" applyFill="1" applyBorder="1" applyAlignment="1">
      <alignment vertical="top" wrapText="1"/>
      <protection/>
    </xf>
    <xf numFmtId="0" fontId="16" fillId="0" borderId="24" xfId="56" applyFont="1" applyBorder="1" applyAlignment="1">
      <alignment vertical="top" wrapText="1"/>
      <protection/>
    </xf>
    <xf numFmtId="0" fontId="16" fillId="0" borderId="42" xfId="56" applyFont="1" applyBorder="1" applyAlignment="1">
      <alignment vertical="top" wrapText="1"/>
      <protection/>
    </xf>
    <xf numFmtId="0" fontId="16" fillId="0" borderId="22" xfId="56" applyFont="1" applyBorder="1" applyAlignment="1">
      <alignment vertical="top" wrapText="1"/>
      <protection/>
    </xf>
    <xf numFmtId="177" fontId="16" fillId="4" borderId="24" xfId="56" applyNumberFormat="1" applyFont="1" applyFill="1" applyBorder="1" applyAlignment="1">
      <alignment horizontal="right" vertical="top" wrapText="1"/>
      <protection/>
    </xf>
    <xf numFmtId="177" fontId="16" fillId="4" borderId="42" xfId="56" applyNumberFormat="1" applyFont="1" applyFill="1" applyBorder="1" applyAlignment="1">
      <alignment horizontal="right" vertical="top" wrapText="1"/>
      <protection/>
    </xf>
    <xf numFmtId="177" fontId="16" fillId="4" borderId="22" xfId="56" applyNumberFormat="1" applyFont="1" applyFill="1" applyBorder="1" applyAlignment="1">
      <alignment horizontal="right" vertical="top" wrapText="1"/>
      <protection/>
    </xf>
    <xf numFmtId="0" fontId="101" fillId="45" borderId="15" xfId="56" applyFont="1" applyFill="1" applyBorder="1" applyAlignment="1">
      <alignment horizontal="left" vertical="center" wrapText="1"/>
      <protection/>
    </xf>
    <xf numFmtId="0" fontId="101" fillId="45" borderId="25" xfId="56" applyFont="1" applyFill="1" applyBorder="1" applyAlignment="1">
      <alignment horizontal="left" vertical="center" wrapText="1"/>
      <protection/>
    </xf>
    <xf numFmtId="0" fontId="101" fillId="45" borderId="17" xfId="56" applyFont="1" applyFill="1" applyBorder="1" applyAlignment="1">
      <alignment horizontal="left" vertical="center" wrapText="1"/>
      <protection/>
    </xf>
    <xf numFmtId="0" fontId="101" fillId="33" borderId="15" xfId="56" applyFont="1" applyFill="1" applyBorder="1" applyAlignment="1">
      <alignment horizontal="left" vertical="center" wrapText="1"/>
      <protection/>
    </xf>
    <xf numFmtId="0" fontId="101" fillId="33" borderId="25" xfId="56" applyFont="1" applyFill="1" applyBorder="1" applyAlignment="1">
      <alignment horizontal="left" vertical="center" wrapText="1"/>
      <protection/>
    </xf>
    <xf numFmtId="0" fontId="101" fillId="33" borderId="17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16" fillId="4" borderId="24" xfId="56" applyFont="1" applyFill="1" applyBorder="1" applyAlignment="1">
      <alignment horizontal="right" vertical="top" wrapText="1"/>
      <protection/>
    </xf>
    <xf numFmtId="0" fontId="16" fillId="4" borderId="42" xfId="56" applyFont="1" applyFill="1" applyBorder="1" applyAlignment="1">
      <alignment horizontal="right" vertical="top" wrapText="1"/>
      <protection/>
    </xf>
    <xf numFmtId="0" fontId="16" fillId="4" borderId="22" xfId="56" applyFont="1" applyFill="1" applyBorder="1" applyAlignment="1">
      <alignment horizontal="right" vertical="top" wrapText="1"/>
      <protection/>
    </xf>
    <xf numFmtId="0" fontId="17" fillId="0" borderId="15" xfId="56" applyFont="1" applyBorder="1" applyAlignment="1">
      <alignment horizontal="right" vertical="top" wrapText="1"/>
      <protection/>
    </xf>
    <xf numFmtId="0" fontId="17" fillId="0" borderId="25" xfId="56" applyFont="1" applyBorder="1" applyAlignment="1">
      <alignment horizontal="right" vertical="top" wrapText="1"/>
      <protection/>
    </xf>
    <xf numFmtId="0" fontId="17" fillId="0" borderId="17" xfId="56" applyFont="1" applyBorder="1" applyAlignment="1">
      <alignment horizontal="right" vertical="top" wrapText="1"/>
      <protection/>
    </xf>
    <xf numFmtId="0" fontId="16" fillId="44" borderId="24" xfId="56" applyFont="1" applyFill="1" applyBorder="1" applyAlignment="1">
      <alignment horizontal="right" vertical="top" wrapText="1"/>
      <protection/>
    </xf>
    <xf numFmtId="0" fontId="16" fillId="44" borderId="42" xfId="56" applyFont="1" applyFill="1" applyBorder="1" applyAlignment="1">
      <alignment horizontal="right" vertical="top" wrapText="1"/>
      <protection/>
    </xf>
    <xf numFmtId="0" fontId="16" fillId="44" borderId="22" xfId="56" applyFont="1" applyFill="1" applyBorder="1" applyAlignment="1">
      <alignment horizontal="right" vertical="top" wrapText="1"/>
      <protection/>
    </xf>
    <xf numFmtId="0" fontId="15" fillId="36" borderId="24" xfId="56" applyFont="1" applyFill="1" applyBorder="1" applyAlignment="1">
      <alignment horizontal="center" vertical="center" wrapText="1"/>
      <protection/>
    </xf>
    <xf numFmtId="0" fontId="15" fillId="36" borderId="22" xfId="56" applyFont="1" applyFill="1" applyBorder="1" applyAlignment="1">
      <alignment horizontal="center" vertical="center" wrapText="1"/>
      <protection/>
    </xf>
    <xf numFmtId="0" fontId="85" fillId="37" borderId="26" xfId="0" applyFont="1" applyFill="1" applyBorder="1" applyAlignment="1">
      <alignment horizontal="center" vertical="center" wrapText="1"/>
    </xf>
    <xf numFmtId="0" fontId="85" fillId="37" borderId="13" xfId="0" applyFont="1" applyFill="1" applyBorder="1" applyAlignment="1">
      <alignment horizontal="center" vertical="center" wrapText="1"/>
    </xf>
    <xf numFmtId="0" fontId="90" fillId="37" borderId="26" xfId="0" applyFont="1" applyFill="1" applyBorder="1" applyAlignment="1">
      <alignment horizontal="center"/>
    </xf>
    <xf numFmtId="0" fontId="90" fillId="37" borderId="27" xfId="0" applyFont="1" applyFill="1" applyBorder="1" applyAlignment="1">
      <alignment horizontal="center"/>
    </xf>
    <xf numFmtId="0" fontId="90" fillId="37" borderId="28" xfId="0" applyFont="1" applyFill="1" applyBorder="1" applyAlignment="1">
      <alignment horizontal="center"/>
    </xf>
    <xf numFmtId="0" fontId="86" fillId="37" borderId="10" xfId="0" applyFont="1" applyFill="1" applyBorder="1" applyAlignment="1">
      <alignment horizontal="center" vertical="top" wrapText="1"/>
    </xf>
    <xf numFmtId="0" fontId="85" fillId="37" borderId="13" xfId="0" applyFont="1" applyFill="1" applyBorder="1" applyAlignment="1">
      <alignment horizontal="center" vertical="top" wrapText="1"/>
    </xf>
    <xf numFmtId="0" fontId="85" fillId="37" borderId="10" xfId="0" applyFont="1" applyFill="1" applyBorder="1" applyAlignment="1">
      <alignment horizontal="center" vertical="top" wrapText="1"/>
    </xf>
    <xf numFmtId="0" fontId="86" fillId="37" borderId="17" xfId="0" applyFont="1" applyFill="1" applyBorder="1" applyAlignment="1">
      <alignment horizontal="center" vertical="top" wrapText="1"/>
    </xf>
    <xf numFmtId="0" fontId="85" fillId="37" borderId="31" xfId="0" applyFont="1" applyFill="1" applyBorder="1" applyAlignment="1">
      <alignment horizontal="center" vertical="center" wrapText="1"/>
    </xf>
    <xf numFmtId="0" fontId="85" fillId="37" borderId="15" xfId="0" applyFont="1" applyFill="1" applyBorder="1" applyAlignment="1">
      <alignment horizontal="center" vertical="center" wrapText="1"/>
    </xf>
    <xf numFmtId="0" fontId="90" fillId="37" borderId="45" xfId="0" applyFont="1" applyFill="1" applyBorder="1" applyAlignment="1">
      <alignment horizontal="center"/>
    </xf>
    <xf numFmtId="0" fontId="85" fillId="37" borderId="46" xfId="0" applyFont="1" applyFill="1" applyBorder="1" applyAlignment="1">
      <alignment horizontal="center" vertical="top" wrapText="1"/>
    </xf>
    <xf numFmtId="0" fontId="85" fillId="37" borderId="47" xfId="0" applyFont="1" applyFill="1" applyBorder="1" applyAlignment="1">
      <alignment horizontal="center" vertical="top" wrapText="1"/>
    </xf>
    <xf numFmtId="0" fontId="85" fillId="37" borderId="48" xfId="0" applyFont="1" applyFill="1" applyBorder="1" applyAlignment="1">
      <alignment horizontal="center" vertical="top" wrapText="1"/>
    </xf>
    <xf numFmtId="0" fontId="86" fillId="37" borderId="46" xfId="0" applyFont="1" applyFill="1" applyBorder="1" applyAlignment="1">
      <alignment horizontal="center" vertical="top" wrapText="1"/>
    </xf>
    <xf numFmtId="0" fontId="86" fillId="37" borderId="47" xfId="0" applyFont="1" applyFill="1" applyBorder="1" applyAlignment="1">
      <alignment horizontal="center" vertical="top" wrapText="1"/>
    </xf>
    <xf numFmtId="0" fontId="86" fillId="37" borderId="48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43" borderId="0" xfId="0" applyFont="1" applyFill="1" applyAlignment="1">
      <alignment horizontal="center" vertical="center" wrapText="1"/>
    </xf>
    <xf numFmtId="0" fontId="85" fillId="36" borderId="13" xfId="0" applyFont="1" applyFill="1" applyBorder="1" applyAlignment="1">
      <alignment horizontal="center" vertical="top" wrapText="1"/>
    </xf>
    <xf numFmtId="0" fontId="85" fillId="36" borderId="10" xfId="0" applyFont="1" applyFill="1" applyBorder="1" applyAlignment="1">
      <alignment horizontal="center" vertical="top" wrapText="1"/>
    </xf>
    <xf numFmtId="0" fontId="85" fillId="36" borderId="18" xfId="0" applyFont="1" applyFill="1" applyBorder="1" applyAlignment="1">
      <alignment horizontal="center" vertical="top" wrapText="1"/>
    </xf>
    <xf numFmtId="0" fontId="102" fillId="36" borderId="26" xfId="0" applyFont="1" applyFill="1" applyBorder="1" applyAlignment="1">
      <alignment horizontal="center"/>
    </xf>
    <xf numFmtId="0" fontId="102" fillId="36" borderId="27" xfId="0" applyFont="1" applyFill="1" applyBorder="1" applyAlignment="1">
      <alignment horizontal="center"/>
    </xf>
    <xf numFmtId="0" fontId="102" fillId="36" borderId="28" xfId="0" applyFont="1" applyFill="1" applyBorder="1" applyAlignment="1">
      <alignment horizontal="center"/>
    </xf>
    <xf numFmtId="0" fontId="85" fillId="36" borderId="49" xfId="0" applyFont="1" applyFill="1" applyBorder="1" applyAlignment="1">
      <alignment horizontal="center" vertical="center" wrapText="1"/>
    </xf>
    <xf numFmtId="0" fontId="85" fillId="36" borderId="36" xfId="0" applyFont="1" applyFill="1" applyBorder="1" applyAlignment="1">
      <alignment horizontal="center" vertical="center" wrapText="1"/>
    </xf>
    <xf numFmtId="0" fontId="85" fillId="36" borderId="37" xfId="0" applyFont="1" applyFill="1" applyBorder="1" applyAlignment="1">
      <alignment horizontal="center" vertical="center" wrapText="1"/>
    </xf>
    <xf numFmtId="0" fontId="85" fillId="36" borderId="50" xfId="0" applyFont="1" applyFill="1" applyBorder="1" applyAlignment="1">
      <alignment horizontal="center" vertical="center" wrapText="1"/>
    </xf>
    <xf numFmtId="0" fontId="85" fillId="36" borderId="33" xfId="0" applyFont="1" applyFill="1" applyBorder="1" applyAlignment="1">
      <alignment horizontal="center" vertical="center" wrapText="1"/>
    </xf>
    <xf numFmtId="0" fontId="85" fillId="36" borderId="34" xfId="0" applyFont="1" applyFill="1" applyBorder="1" applyAlignment="1">
      <alignment horizontal="center" vertical="center" wrapText="1"/>
    </xf>
    <xf numFmtId="0" fontId="24" fillId="43" borderId="0" xfId="0" applyFont="1" applyFill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45" borderId="24" xfId="0" applyFill="1" applyBorder="1" applyAlignment="1">
      <alignment horizontal="center" vertical="top" wrapText="1"/>
    </xf>
    <xf numFmtId="0" fontId="0" fillId="45" borderId="42" xfId="0" applyFill="1" applyBorder="1" applyAlignment="1">
      <alignment horizontal="center" vertical="top" wrapText="1"/>
    </xf>
    <xf numFmtId="0" fontId="0" fillId="45" borderId="22" xfId="0" applyFill="1" applyBorder="1" applyAlignment="1">
      <alignment horizontal="center" vertical="top" wrapText="1"/>
    </xf>
    <xf numFmtId="0" fontId="0" fillId="36" borderId="51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6" borderId="52" xfId="0" applyFill="1" applyBorder="1" applyAlignment="1">
      <alignment horizontal="center" vertical="top" wrapText="1"/>
    </xf>
    <xf numFmtId="0" fontId="0" fillId="36" borderId="53" xfId="0" applyFill="1" applyBorder="1" applyAlignment="1">
      <alignment horizontal="center" vertical="top" wrapText="1"/>
    </xf>
    <xf numFmtId="0" fontId="0" fillId="36" borderId="54" xfId="0" applyFill="1" applyBorder="1" applyAlignment="1">
      <alignment horizontal="center" vertical="top" wrapText="1"/>
    </xf>
    <xf numFmtId="0" fontId="103" fillId="36" borderId="52" xfId="0" applyFont="1" applyFill="1" applyBorder="1" applyAlignment="1">
      <alignment horizontal="left" vertical="top" wrapText="1"/>
    </xf>
    <xf numFmtId="0" fontId="103" fillId="36" borderId="53" xfId="0" applyFont="1" applyFill="1" applyBorder="1" applyAlignment="1">
      <alignment horizontal="left" vertical="top" wrapText="1"/>
    </xf>
    <xf numFmtId="0" fontId="103" fillId="36" borderId="54" xfId="0" applyFont="1" applyFill="1" applyBorder="1" applyAlignment="1">
      <alignment horizontal="left" vertical="top" wrapText="1"/>
    </xf>
    <xf numFmtId="0" fontId="30" fillId="0" borderId="24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55" xfId="0" applyFont="1" applyBorder="1" applyAlignment="1">
      <alignment horizontal="center" vertical="top"/>
    </xf>
    <xf numFmtId="0" fontId="29" fillId="0" borderId="30" xfId="0" applyFont="1" applyBorder="1" applyAlignment="1">
      <alignment horizontal="left"/>
    </xf>
    <xf numFmtId="0" fontId="28" fillId="45" borderId="0" xfId="0" applyFont="1" applyFill="1" applyAlignment="1">
      <alignment horizontal="center" wrapText="1"/>
    </xf>
    <xf numFmtId="0" fontId="85" fillId="45" borderId="0" xfId="0" applyFont="1" applyFill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3_Фактический баланс 2014 г." xfId="55"/>
    <cellStyle name="Обычный_Книга1" xfId="56"/>
    <cellStyle name="Обычный_Основные 2015 г." xfId="57"/>
    <cellStyle name="Обычный_Прил 6 Фактический баланс в сети Покупателя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72"/>
  <sheetViews>
    <sheetView tabSelected="1" workbookViewId="0" topLeftCell="A59">
      <selection activeCell="G73" sqref="G73"/>
    </sheetView>
  </sheetViews>
  <sheetFormatPr defaultColWidth="9.140625" defaultRowHeight="15"/>
  <cols>
    <col min="1" max="1" width="5.57421875" style="0" customWidth="1"/>
    <col min="2" max="2" width="18.00390625" style="0" customWidth="1"/>
    <col min="3" max="3" width="11.140625" style="0" customWidth="1"/>
    <col min="4" max="4" width="11.421875" style="0" customWidth="1"/>
    <col min="5" max="6" width="10.28125" style="0" customWidth="1"/>
    <col min="7" max="7" width="10.7109375" style="0" customWidth="1"/>
    <col min="8" max="8" width="9.28125" style="0" customWidth="1"/>
    <col min="9" max="9" width="10.421875" style="0" customWidth="1"/>
    <col min="10" max="10" width="7.7109375" style="0" customWidth="1"/>
    <col min="11" max="11" width="8.421875" style="0" customWidth="1"/>
  </cols>
  <sheetData>
    <row r="1" spans="9:10" ht="18" customHeight="1">
      <c r="I1" s="1" t="s">
        <v>0</v>
      </c>
      <c r="J1" s="1"/>
    </row>
    <row r="2" spans="9:10" ht="20.25" customHeight="1">
      <c r="I2" s="1" t="s">
        <v>1</v>
      </c>
      <c r="J2" s="1"/>
    </row>
    <row r="3" spans="9:10" ht="15.75" customHeight="1">
      <c r="I3" s="1" t="s">
        <v>2</v>
      </c>
      <c r="J3" s="1"/>
    </row>
    <row r="4" spans="9:10" ht="15" customHeight="1">
      <c r="I4" s="1" t="s">
        <v>3</v>
      </c>
      <c r="J4" s="1"/>
    </row>
    <row r="5" spans="9:10" ht="15.75" customHeight="1">
      <c r="I5" s="1" t="s">
        <v>4</v>
      </c>
      <c r="J5" s="1"/>
    </row>
    <row r="6" spans="9:10" ht="10.5" customHeight="1">
      <c r="I6" s="2"/>
      <c r="J6" s="2"/>
    </row>
    <row r="7" spans="1:10" ht="18.75" customHeight="1">
      <c r="A7" s="399" t="s">
        <v>140</v>
      </c>
      <c r="B7" s="399"/>
      <c r="C7" s="399"/>
      <c r="D7" s="399"/>
      <c r="E7" s="399"/>
      <c r="F7" s="399"/>
      <c r="G7" s="399"/>
      <c r="H7" s="399"/>
      <c r="I7" s="399"/>
      <c r="J7" s="156"/>
    </row>
    <row r="8" spans="1:10" ht="28.5" customHeight="1">
      <c r="A8" s="400" t="s">
        <v>413</v>
      </c>
      <c r="B8" s="400"/>
      <c r="C8" s="400"/>
      <c r="D8" s="400"/>
      <c r="E8" s="400"/>
      <c r="F8" s="400"/>
      <c r="G8" s="400"/>
      <c r="H8" s="400"/>
      <c r="I8" s="400"/>
      <c r="J8" s="161"/>
    </row>
    <row r="9" spans="1:10" ht="12" customHeight="1">
      <c r="A9" s="401" t="s">
        <v>141</v>
      </c>
      <c r="B9" s="401"/>
      <c r="C9" s="401"/>
      <c r="D9" s="401"/>
      <c r="E9" s="401"/>
      <c r="F9" s="401"/>
      <c r="G9" s="401"/>
      <c r="H9" s="401"/>
      <c r="I9" s="401"/>
      <c r="J9" s="157"/>
    </row>
    <row r="10" spans="9:10" ht="10.5" customHeight="1">
      <c r="I10" s="2"/>
      <c r="J10" s="2"/>
    </row>
    <row r="11" spans="1:10" ht="17.25" customHeight="1">
      <c r="A11" s="402" t="s">
        <v>82</v>
      </c>
      <c r="B11" s="402"/>
      <c r="C11" s="402"/>
      <c r="D11" s="402"/>
      <c r="E11" s="402"/>
      <c r="F11" s="402"/>
      <c r="G11" s="402"/>
      <c r="H11" s="402"/>
      <c r="I11" s="402"/>
      <c r="J11" s="158"/>
    </row>
    <row r="12" spans="9:10" ht="14.25" customHeight="1">
      <c r="I12" s="2"/>
      <c r="J12" s="2"/>
    </row>
    <row r="13" spans="1:10" ht="62.25" customHeight="1" thickBot="1">
      <c r="A13" s="407" t="s">
        <v>5</v>
      </c>
      <c r="B13" s="407"/>
      <c r="C13" s="407"/>
      <c r="D13" s="407"/>
      <c r="E13" s="407"/>
      <c r="F13" s="407"/>
      <c r="G13" s="407"/>
      <c r="H13" s="407"/>
      <c r="I13" s="407"/>
      <c r="J13" s="155"/>
    </row>
    <row r="14" spans="1:25" ht="24" customHeight="1">
      <c r="A14" s="405" t="s">
        <v>143</v>
      </c>
      <c r="B14" s="410" t="s">
        <v>144</v>
      </c>
      <c r="C14" s="414" t="s">
        <v>249</v>
      </c>
      <c r="D14" s="415"/>
      <c r="E14" s="415"/>
      <c r="F14" s="415"/>
      <c r="G14" s="415"/>
      <c r="H14" s="415"/>
      <c r="I14" s="416"/>
      <c r="J14" s="432" t="s">
        <v>250</v>
      </c>
      <c r="K14" s="433"/>
      <c r="L14" s="433"/>
      <c r="M14" s="433"/>
      <c r="N14" s="433"/>
      <c r="O14" s="433"/>
      <c r="P14" s="433"/>
      <c r="Q14" s="433"/>
      <c r="R14" s="434"/>
      <c r="S14" s="381" t="s">
        <v>252</v>
      </c>
      <c r="T14" s="382"/>
      <c r="U14" s="382"/>
      <c r="V14" s="382"/>
      <c r="W14" s="382"/>
      <c r="X14" s="382"/>
      <c r="Y14" s="383"/>
    </row>
    <row r="15" spans="1:25" s="24" customFormat="1" ht="41.25" customHeight="1">
      <c r="A15" s="406"/>
      <c r="B15" s="411"/>
      <c r="C15" s="384" t="s">
        <v>145</v>
      </c>
      <c r="D15" s="385"/>
      <c r="E15" s="385"/>
      <c r="F15" s="385"/>
      <c r="G15" s="385" t="s">
        <v>146</v>
      </c>
      <c r="H15" s="385"/>
      <c r="I15" s="386"/>
      <c r="J15" s="435" t="s">
        <v>145</v>
      </c>
      <c r="K15" s="436"/>
      <c r="L15" s="436"/>
      <c r="M15" s="436"/>
      <c r="N15" s="437"/>
      <c r="O15" s="385" t="s">
        <v>146</v>
      </c>
      <c r="P15" s="385"/>
      <c r="Q15" s="387"/>
      <c r="R15" s="387"/>
      <c r="S15" s="384" t="s">
        <v>145</v>
      </c>
      <c r="T15" s="385"/>
      <c r="U15" s="385"/>
      <c r="V15" s="385"/>
      <c r="W15" s="385" t="s">
        <v>146</v>
      </c>
      <c r="X15" s="385"/>
      <c r="Y15" s="386"/>
    </row>
    <row r="16" spans="1:25" s="24" customFormat="1" ht="14.25" customHeight="1">
      <c r="A16" s="406"/>
      <c r="B16" s="411"/>
      <c r="C16" s="170" t="s">
        <v>21</v>
      </c>
      <c r="D16" s="171" t="s">
        <v>147</v>
      </c>
      <c r="E16" s="171" t="s">
        <v>148</v>
      </c>
      <c r="F16" s="171" t="s">
        <v>24</v>
      </c>
      <c r="G16" s="171">
        <v>1</v>
      </c>
      <c r="H16" s="171">
        <v>2</v>
      </c>
      <c r="I16" s="172">
        <v>3</v>
      </c>
      <c r="J16" s="438" t="s">
        <v>21</v>
      </c>
      <c r="K16" s="439"/>
      <c r="L16" s="171" t="s">
        <v>147</v>
      </c>
      <c r="M16" s="171" t="s">
        <v>148</v>
      </c>
      <c r="N16" s="171" t="s">
        <v>24</v>
      </c>
      <c r="O16" s="171">
        <v>1</v>
      </c>
      <c r="P16" s="411">
        <v>2</v>
      </c>
      <c r="Q16" s="439"/>
      <c r="R16" s="173">
        <v>3</v>
      </c>
      <c r="S16" s="170" t="s">
        <v>21</v>
      </c>
      <c r="T16" s="171" t="s">
        <v>147</v>
      </c>
      <c r="U16" s="171" t="s">
        <v>148</v>
      </c>
      <c r="V16" s="171" t="s">
        <v>24</v>
      </c>
      <c r="W16" s="171">
        <v>1</v>
      </c>
      <c r="X16" s="171">
        <v>2</v>
      </c>
      <c r="Y16" s="172">
        <v>3</v>
      </c>
    </row>
    <row r="17" spans="1:25" s="25" customFormat="1" ht="14.25" customHeight="1">
      <c r="A17" s="403">
        <v>1</v>
      </c>
      <c r="B17" s="428" t="s">
        <v>149</v>
      </c>
      <c r="C17" s="374" t="s">
        <v>166</v>
      </c>
      <c r="D17" s="375"/>
      <c r="E17" s="375"/>
      <c r="F17" s="375"/>
      <c r="G17" s="375"/>
      <c r="H17" s="375"/>
      <c r="I17" s="376"/>
      <c r="J17" s="388" t="s">
        <v>166</v>
      </c>
      <c r="K17" s="389"/>
      <c r="L17" s="389"/>
      <c r="M17" s="389"/>
      <c r="N17" s="389"/>
      <c r="O17" s="389"/>
      <c r="P17" s="389"/>
      <c r="Q17" s="389"/>
      <c r="R17" s="390"/>
      <c r="S17" s="374" t="s">
        <v>166</v>
      </c>
      <c r="T17" s="375"/>
      <c r="U17" s="375"/>
      <c r="V17" s="375"/>
      <c r="W17" s="375"/>
      <c r="X17" s="375"/>
      <c r="Y17" s="376"/>
    </row>
    <row r="18" spans="1:25" s="18" customFormat="1" ht="21" customHeight="1">
      <c r="A18" s="403"/>
      <c r="B18" s="428"/>
      <c r="C18" s="174">
        <v>1</v>
      </c>
      <c r="D18" s="175"/>
      <c r="E18" s="175">
        <v>83</v>
      </c>
      <c r="F18" s="175">
        <v>266</v>
      </c>
      <c r="G18" s="175">
        <v>3</v>
      </c>
      <c r="H18" s="175">
        <v>16</v>
      </c>
      <c r="I18" s="176">
        <v>331</v>
      </c>
      <c r="J18" s="440">
        <v>1</v>
      </c>
      <c r="K18" s="441"/>
      <c r="L18" s="175">
        <v>3</v>
      </c>
      <c r="M18" s="175">
        <v>38</v>
      </c>
      <c r="N18" s="175">
        <v>361</v>
      </c>
      <c r="O18" s="177">
        <v>4</v>
      </c>
      <c r="P18" s="447">
        <v>23</v>
      </c>
      <c r="Q18" s="443"/>
      <c r="R18" s="178">
        <v>376</v>
      </c>
      <c r="S18" s="174">
        <f>C18+J18</f>
        <v>2</v>
      </c>
      <c r="T18" s="175">
        <f>D18+L18</f>
        <v>3</v>
      </c>
      <c r="U18" s="175">
        <f>E18+M18</f>
        <v>121</v>
      </c>
      <c r="V18" s="175">
        <f>F18+N18</f>
        <v>627</v>
      </c>
      <c r="W18" s="175">
        <f>G18+O18</f>
        <v>7</v>
      </c>
      <c r="X18" s="175">
        <f>H18+P18</f>
        <v>39</v>
      </c>
      <c r="Y18" s="176">
        <f>I18+R18</f>
        <v>707</v>
      </c>
    </row>
    <row r="19" spans="1:25" s="25" customFormat="1" ht="18.75" customHeight="1">
      <c r="A19" s="403"/>
      <c r="B19" s="428"/>
      <c r="C19" s="374" t="s">
        <v>167</v>
      </c>
      <c r="D19" s="375"/>
      <c r="E19" s="375"/>
      <c r="F19" s="375"/>
      <c r="G19" s="375"/>
      <c r="H19" s="375"/>
      <c r="I19" s="376"/>
      <c r="J19" s="388" t="s">
        <v>167</v>
      </c>
      <c r="K19" s="389"/>
      <c r="L19" s="389"/>
      <c r="M19" s="389"/>
      <c r="N19" s="389"/>
      <c r="O19" s="389"/>
      <c r="P19" s="389"/>
      <c r="Q19" s="389"/>
      <c r="R19" s="390"/>
      <c r="S19" s="374" t="s">
        <v>167</v>
      </c>
      <c r="T19" s="375"/>
      <c r="U19" s="375"/>
      <c r="V19" s="375"/>
      <c r="W19" s="375"/>
      <c r="X19" s="375"/>
      <c r="Y19" s="376"/>
    </row>
    <row r="20" spans="1:25" s="18" customFormat="1" ht="24" customHeight="1">
      <c r="A20" s="403"/>
      <c r="B20" s="428"/>
      <c r="C20" s="174">
        <v>1</v>
      </c>
      <c r="D20" s="175"/>
      <c r="E20" s="175">
        <v>81</v>
      </c>
      <c r="F20" s="175">
        <f>266-9</f>
        <v>257</v>
      </c>
      <c r="G20" s="175">
        <v>3</v>
      </c>
      <c r="H20" s="175">
        <v>14</v>
      </c>
      <c r="I20" s="176">
        <f>1+81+257-3-14</f>
        <v>322</v>
      </c>
      <c r="J20" s="442">
        <v>1</v>
      </c>
      <c r="K20" s="443"/>
      <c r="L20" s="177">
        <v>3</v>
      </c>
      <c r="M20" s="177">
        <v>38</v>
      </c>
      <c r="N20" s="177">
        <v>324</v>
      </c>
      <c r="O20" s="177">
        <v>4</v>
      </c>
      <c r="P20" s="447">
        <v>18</v>
      </c>
      <c r="Q20" s="443"/>
      <c r="R20" s="178">
        <v>344</v>
      </c>
      <c r="S20" s="174">
        <f>C20+J20</f>
        <v>2</v>
      </c>
      <c r="T20" s="175">
        <f>D20+L20</f>
        <v>3</v>
      </c>
      <c r="U20" s="175">
        <f>E20+M20</f>
        <v>119</v>
      </c>
      <c r="V20" s="175">
        <f>F20+N20</f>
        <v>581</v>
      </c>
      <c r="W20" s="175">
        <f>G20+O20</f>
        <v>7</v>
      </c>
      <c r="X20" s="175">
        <f>H20+P20</f>
        <v>32</v>
      </c>
      <c r="Y20" s="176">
        <f>I20+R20</f>
        <v>666</v>
      </c>
    </row>
    <row r="21" spans="1:25" s="18" customFormat="1" ht="32.25" customHeight="1">
      <c r="A21" s="403" t="s">
        <v>142</v>
      </c>
      <c r="B21" s="404"/>
      <c r="C21" s="174">
        <f aca="true" t="shared" si="0" ref="C21:I21">C18-C20</f>
        <v>0</v>
      </c>
      <c r="D21" s="175">
        <f t="shared" si="0"/>
        <v>0</v>
      </c>
      <c r="E21" s="175">
        <f t="shared" si="0"/>
        <v>2</v>
      </c>
      <c r="F21" s="175">
        <f t="shared" si="0"/>
        <v>9</v>
      </c>
      <c r="G21" s="175">
        <f t="shared" si="0"/>
        <v>0</v>
      </c>
      <c r="H21" s="175">
        <f t="shared" si="0"/>
        <v>2</v>
      </c>
      <c r="I21" s="176">
        <f t="shared" si="0"/>
        <v>9</v>
      </c>
      <c r="J21" s="440">
        <f>J18-J20</f>
        <v>0</v>
      </c>
      <c r="K21" s="441"/>
      <c r="L21" s="175">
        <f aca="true" t="shared" si="1" ref="L21:R21">L18-L20</f>
        <v>0</v>
      </c>
      <c r="M21" s="175">
        <f t="shared" si="1"/>
        <v>0</v>
      </c>
      <c r="N21" s="175">
        <f t="shared" si="1"/>
        <v>37</v>
      </c>
      <c r="O21" s="175">
        <f t="shared" si="1"/>
        <v>0</v>
      </c>
      <c r="P21" s="428">
        <f t="shared" si="1"/>
        <v>5</v>
      </c>
      <c r="Q21" s="441"/>
      <c r="R21" s="179">
        <f t="shared" si="1"/>
        <v>32</v>
      </c>
      <c r="S21" s="174">
        <f aca="true" t="shared" si="2" ref="S21:Y21">S18-S20</f>
        <v>0</v>
      </c>
      <c r="T21" s="175">
        <f t="shared" si="2"/>
        <v>0</v>
      </c>
      <c r="U21" s="175">
        <f t="shared" si="2"/>
        <v>2</v>
      </c>
      <c r="V21" s="175">
        <f t="shared" si="2"/>
        <v>46</v>
      </c>
      <c r="W21" s="175">
        <f t="shared" si="2"/>
        <v>0</v>
      </c>
      <c r="X21" s="175">
        <f t="shared" si="2"/>
        <v>7</v>
      </c>
      <c r="Y21" s="176">
        <f t="shared" si="2"/>
        <v>41</v>
      </c>
    </row>
    <row r="22" spans="1:25" s="24" customFormat="1" ht="15" customHeight="1">
      <c r="A22" s="406" t="s">
        <v>143</v>
      </c>
      <c r="B22" s="411" t="s">
        <v>144</v>
      </c>
      <c r="C22" s="384" t="s">
        <v>145</v>
      </c>
      <c r="D22" s="385"/>
      <c r="E22" s="385"/>
      <c r="F22" s="385"/>
      <c r="G22" s="385" t="s">
        <v>146</v>
      </c>
      <c r="H22" s="385"/>
      <c r="I22" s="386"/>
      <c r="J22" s="435" t="s">
        <v>145</v>
      </c>
      <c r="K22" s="436"/>
      <c r="L22" s="436"/>
      <c r="M22" s="436"/>
      <c r="N22" s="437"/>
      <c r="O22" s="385" t="s">
        <v>146</v>
      </c>
      <c r="P22" s="385"/>
      <c r="Q22" s="387"/>
      <c r="R22" s="387"/>
      <c r="S22" s="384" t="s">
        <v>145</v>
      </c>
      <c r="T22" s="385"/>
      <c r="U22" s="385"/>
      <c r="V22" s="385"/>
      <c r="W22" s="385" t="s">
        <v>146</v>
      </c>
      <c r="X22" s="385"/>
      <c r="Y22" s="386"/>
    </row>
    <row r="23" spans="1:25" s="24" customFormat="1" ht="14.25" customHeight="1">
      <c r="A23" s="406"/>
      <c r="B23" s="411"/>
      <c r="C23" s="170" t="s">
        <v>21</v>
      </c>
      <c r="D23" s="171" t="s">
        <v>147</v>
      </c>
      <c r="E23" s="171" t="s">
        <v>148</v>
      </c>
      <c r="F23" s="171" t="s">
        <v>24</v>
      </c>
      <c r="G23" s="171">
        <v>1</v>
      </c>
      <c r="H23" s="171">
        <v>2</v>
      </c>
      <c r="I23" s="172">
        <v>3</v>
      </c>
      <c r="J23" s="438" t="s">
        <v>21</v>
      </c>
      <c r="K23" s="439"/>
      <c r="L23" s="171" t="s">
        <v>147</v>
      </c>
      <c r="M23" s="171" t="s">
        <v>148</v>
      </c>
      <c r="N23" s="171" t="s">
        <v>24</v>
      </c>
      <c r="O23" s="171">
        <v>1</v>
      </c>
      <c r="P23" s="411">
        <v>2</v>
      </c>
      <c r="Q23" s="439"/>
      <c r="R23" s="173">
        <v>3</v>
      </c>
      <c r="S23" s="170" t="s">
        <v>21</v>
      </c>
      <c r="T23" s="171" t="s">
        <v>147</v>
      </c>
      <c r="U23" s="171" t="s">
        <v>148</v>
      </c>
      <c r="V23" s="171" t="s">
        <v>24</v>
      </c>
      <c r="W23" s="171">
        <v>1</v>
      </c>
      <c r="X23" s="171">
        <v>2</v>
      </c>
      <c r="Y23" s="172">
        <v>3</v>
      </c>
    </row>
    <row r="24" spans="1:25" s="25" customFormat="1" ht="18.75" customHeight="1">
      <c r="A24" s="422" t="s">
        <v>150</v>
      </c>
      <c r="B24" s="425" t="s">
        <v>151</v>
      </c>
      <c r="C24" s="374" t="s">
        <v>166</v>
      </c>
      <c r="D24" s="375"/>
      <c r="E24" s="375"/>
      <c r="F24" s="375"/>
      <c r="G24" s="375"/>
      <c r="H24" s="375"/>
      <c r="I24" s="376"/>
      <c r="J24" s="388" t="s">
        <v>166</v>
      </c>
      <c r="K24" s="389"/>
      <c r="L24" s="389"/>
      <c r="M24" s="389"/>
      <c r="N24" s="389"/>
      <c r="O24" s="389"/>
      <c r="P24" s="389"/>
      <c r="Q24" s="389"/>
      <c r="R24" s="390"/>
      <c r="S24" s="374" t="s">
        <v>166</v>
      </c>
      <c r="T24" s="375"/>
      <c r="U24" s="375"/>
      <c r="V24" s="375"/>
      <c r="W24" s="375"/>
      <c r="X24" s="375"/>
      <c r="Y24" s="376"/>
    </row>
    <row r="25" spans="1:25" s="18" customFormat="1" ht="20.25" customHeight="1">
      <c r="A25" s="423"/>
      <c r="B25" s="426"/>
      <c r="C25" s="174"/>
      <c r="D25" s="175"/>
      <c r="E25" s="175"/>
      <c r="F25" s="175">
        <f>359+8</f>
        <v>367</v>
      </c>
      <c r="G25" s="175"/>
      <c r="H25" s="175"/>
      <c r="I25" s="176">
        <v>367</v>
      </c>
      <c r="J25" s="440"/>
      <c r="K25" s="441"/>
      <c r="L25" s="175"/>
      <c r="M25" s="175"/>
      <c r="N25" s="175">
        <f>351+23</f>
        <v>374</v>
      </c>
      <c r="O25" s="177"/>
      <c r="P25" s="447"/>
      <c r="Q25" s="443"/>
      <c r="R25" s="178">
        <v>374</v>
      </c>
      <c r="S25" s="174">
        <f aca="true" t="shared" si="3" ref="S25:X25">C25+K25</f>
        <v>0</v>
      </c>
      <c r="T25" s="175">
        <f t="shared" si="3"/>
        <v>0</v>
      </c>
      <c r="U25" s="175">
        <f t="shared" si="3"/>
        <v>0</v>
      </c>
      <c r="V25" s="175">
        <f t="shared" si="3"/>
        <v>741</v>
      </c>
      <c r="W25" s="175">
        <f t="shared" si="3"/>
        <v>0</v>
      </c>
      <c r="X25" s="175">
        <f t="shared" si="3"/>
        <v>0</v>
      </c>
      <c r="Y25" s="176">
        <f>I25+R25</f>
        <v>741</v>
      </c>
    </row>
    <row r="26" spans="1:25" s="25" customFormat="1" ht="18" customHeight="1">
      <c r="A26" s="423"/>
      <c r="B26" s="426"/>
      <c r="C26" s="374" t="s">
        <v>167</v>
      </c>
      <c r="D26" s="375"/>
      <c r="E26" s="375"/>
      <c r="F26" s="375"/>
      <c r="G26" s="375"/>
      <c r="H26" s="375"/>
      <c r="I26" s="376"/>
      <c r="J26" s="388" t="s">
        <v>167</v>
      </c>
      <c r="K26" s="389"/>
      <c r="L26" s="389"/>
      <c r="M26" s="389"/>
      <c r="N26" s="389"/>
      <c r="O26" s="389"/>
      <c r="P26" s="389"/>
      <c r="Q26" s="389"/>
      <c r="R26" s="390"/>
      <c r="S26" s="374" t="s">
        <v>167</v>
      </c>
      <c r="T26" s="375"/>
      <c r="U26" s="375"/>
      <c r="V26" s="375"/>
      <c r="W26" s="375"/>
      <c r="X26" s="375"/>
      <c r="Y26" s="376"/>
    </row>
    <row r="27" spans="1:25" s="18" customFormat="1" ht="18" customHeight="1">
      <c r="A27" s="424"/>
      <c r="B27" s="427"/>
      <c r="C27" s="174"/>
      <c r="D27" s="175"/>
      <c r="E27" s="175"/>
      <c r="F27" s="175">
        <f>367-2</f>
        <v>365</v>
      </c>
      <c r="G27" s="175"/>
      <c r="H27" s="175"/>
      <c r="I27" s="176">
        <v>365</v>
      </c>
      <c r="J27" s="440"/>
      <c r="K27" s="441"/>
      <c r="L27" s="177"/>
      <c r="M27" s="177"/>
      <c r="N27" s="177">
        <f>325+23</f>
        <v>348</v>
      </c>
      <c r="O27" s="177"/>
      <c r="P27" s="447"/>
      <c r="Q27" s="443"/>
      <c r="R27" s="178">
        <v>348</v>
      </c>
      <c r="S27" s="174">
        <f aca="true" t="shared" si="4" ref="S27:X27">C27+K27</f>
        <v>0</v>
      </c>
      <c r="T27" s="175">
        <f t="shared" si="4"/>
        <v>0</v>
      </c>
      <c r="U27" s="175">
        <f t="shared" si="4"/>
        <v>0</v>
      </c>
      <c r="V27" s="175">
        <f t="shared" si="4"/>
        <v>713</v>
      </c>
      <c r="W27" s="175">
        <f t="shared" si="4"/>
        <v>0</v>
      </c>
      <c r="X27" s="175">
        <f t="shared" si="4"/>
        <v>0</v>
      </c>
      <c r="Y27" s="176">
        <f>I27+R27</f>
        <v>713</v>
      </c>
    </row>
    <row r="28" spans="1:25" s="18" customFormat="1" ht="30.75" customHeight="1" thickBot="1">
      <c r="A28" s="420" t="s">
        <v>142</v>
      </c>
      <c r="B28" s="421"/>
      <c r="C28" s="180">
        <f aca="true" t="shared" si="5" ref="C28:I28">C25-C27</f>
        <v>0</v>
      </c>
      <c r="D28" s="181">
        <f t="shared" si="5"/>
        <v>0</v>
      </c>
      <c r="E28" s="181">
        <f t="shared" si="5"/>
        <v>0</v>
      </c>
      <c r="F28" s="181">
        <f t="shared" si="5"/>
        <v>2</v>
      </c>
      <c r="G28" s="181">
        <f t="shared" si="5"/>
        <v>0</v>
      </c>
      <c r="H28" s="181">
        <f t="shared" si="5"/>
        <v>0</v>
      </c>
      <c r="I28" s="182">
        <f t="shared" si="5"/>
        <v>2</v>
      </c>
      <c r="J28" s="444">
        <f>K25-K27</f>
        <v>0</v>
      </c>
      <c r="K28" s="445"/>
      <c r="L28" s="181">
        <f aca="true" t="shared" si="6" ref="L28:R28">L25-L27</f>
        <v>0</v>
      </c>
      <c r="M28" s="181">
        <f t="shared" si="6"/>
        <v>0</v>
      </c>
      <c r="N28" s="181">
        <f t="shared" si="6"/>
        <v>26</v>
      </c>
      <c r="O28" s="181">
        <f t="shared" si="6"/>
        <v>0</v>
      </c>
      <c r="P28" s="448">
        <f t="shared" si="6"/>
        <v>0</v>
      </c>
      <c r="Q28" s="445"/>
      <c r="R28" s="183">
        <f t="shared" si="6"/>
        <v>26</v>
      </c>
      <c r="S28" s="180">
        <f aca="true" t="shared" si="7" ref="S28:Y28">S25-S27</f>
        <v>0</v>
      </c>
      <c r="T28" s="181">
        <f t="shared" si="7"/>
        <v>0</v>
      </c>
      <c r="U28" s="181">
        <f t="shared" si="7"/>
        <v>0</v>
      </c>
      <c r="V28" s="181">
        <f t="shared" si="7"/>
        <v>28</v>
      </c>
      <c r="W28" s="181">
        <f t="shared" si="7"/>
        <v>0</v>
      </c>
      <c r="X28" s="181">
        <f t="shared" si="7"/>
        <v>0</v>
      </c>
      <c r="Y28" s="182">
        <f t="shared" si="7"/>
        <v>28</v>
      </c>
    </row>
    <row r="29" spans="1:25" ht="9" customHeight="1">
      <c r="A29" s="184"/>
      <c r="B29" s="184"/>
      <c r="C29" s="184"/>
      <c r="D29" s="184"/>
      <c r="E29" s="184"/>
      <c r="F29" s="184"/>
      <c r="G29" s="184"/>
      <c r="H29" s="184"/>
      <c r="I29" s="185"/>
      <c r="J29" s="185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93.75" customHeight="1">
      <c r="A30" s="368" t="s">
        <v>6</v>
      </c>
      <c r="B30" s="368"/>
      <c r="C30" s="368"/>
      <c r="D30" s="368"/>
      <c r="E30" s="368"/>
      <c r="F30" s="368"/>
      <c r="G30" s="368"/>
      <c r="H30" s="368"/>
      <c r="I30" s="368"/>
      <c r="J30" s="186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</row>
    <row r="31" spans="1:25" ht="15" customHeight="1">
      <c r="A31" s="355" t="s">
        <v>127</v>
      </c>
      <c r="B31" s="355"/>
      <c r="C31" s="355"/>
      <c r="D31" s="355"/>
      <c r="E31" s="355"/>
      <c r="F31" s="355" t="s">
        <v>249</v>
      </c>
      <c r="G31" s="355"/>
      <c r="H31" s="355"/>
      <c r="I31" s="355"/>
      <c r="J31" s="345" t="s">
        <v>250</v>
      </c>
      <c r="K31" s="346"/>
      <c r="L31" s="346"/>
      <c r="M31" s="346"/>
      <c r="N31" s="347"/>
      <c r="O31" s="378" t="s">
        <v>251</v>
      </c>
      <c r="P31" s="378"/>
      <c r="Q31" s="378"/>
      <c r="R31" s="378"/>
      <c r="S31" s="378"/>
      <c r="T31" s="184"/>
      <c r="U31" s="184"/>
      <c r="V31" s="184"/>
      <c r="W31" s="184"/>
      <c r="X31" s="184"/>
      <c r="Y31" s="184"/>
    </row>
    <row r="32" spans="1:25" s="18" customFormat="1" ht="27" customHeight="1">
      <c r="A32" s="355"/>
      <c r="B32" s="355"/>
      <c r="C32" s="355"/>
      <c r="D32" s="355"/>
      <c r="E32" s="355"/>
      <c r="F32" s="377" t="s">
        <v>205</v>
      </c>
      <c r="G32" s="377"/>
      <c r="H32" s="377" t="s">
        <v>142</v>
      </c>
      <c r="I32" s="377"/>
      <c r="J32" s="379" t="s">
        <v>205</v>
      </c>
      <c r="K32" s="446"/>
      <c r="L32" s="380"/>
      <c r="M32" s="377" t="s">
        <v>142</v>
      </c>
      <c r="N32" s="377"/>
      <c r="O32" s="379" t="s">
        <v>205</v>
      </c>
      <c r="P32" s="446"/>
      <c r="Q32" s="380"/>
      <c r="R32" s="377" t="s">
        <v>142</v>
      </c>
      <c r="S32" s="377"/>
      <c r="T32" s="188"/>
      <c r="U32" s="188"/>
      <c r="V32" s="188"/>
      <c r="W32" s="188"/>
      <c r="X32" s="188"/>
      <c r="Y32" s="188"/>
    </row>
    <row r="33" spans="1:25" s="18" customFormat="1" ht="27" customHeight="1">
      <c r="A33" s="355"/>
      <c r="B33" s="355"/>
      <c r="C33" s="355"/>
      <c r="D33" s="355"/>
      <c r="E33" s="355"/>
      <c r="F33" s="189">
        <v>2014</v>
      </c>
      <c r="G33" s="190">
        <v>2015</v>
      </c>
      <c r="H33" s="377"/>
      <c r="I33" s="377"/>
      <c r="J33" s="412">
        <v>2014</v>
      </c>
      <c r="K33" s="413"/>
      <c r="L33" s="191">
        <v>2015</v>
      </c>
      <c r="M33" s="377"/>
      <c r="N33" s="377"/>
      <c r="O33" s="190">
        <v>2014</v>
      </c>
      <c r="P33" s="379">
        <v>2015</v>
      </c>
      <c r="Q33" s="380"/>
      <c r="R33" s="377"/>
      <c r="S33" s="377"/>
      <c r="T33" s="188"/>
      <c r="U33" s="188"/>
      <c r="V33" s="188"/>
      <c r="W33" s="188"/>
      <c r="X33" s="188"/>
      <c r="Y33" s="188"/>
    </row>
    <row r="34" spans="1:25" s="18" customFormat="1" ht="27.75" customHeight="1">
      <c r="A34" s="398" t="s">
        <v>206</v>
      </c>
      <c r="B34" s="398"/>
      <c r="C34" s="398"/>
      <c r="D34" s="398"/>
      <c r="E34" s="398"/>
      <c r="F34" s="192">
        <v>1487</v>
      </c>
      <c r="G34" s="192">
        <v>1569</v>
      </c>
      <c r="H34" s="363">
        <f>G34-F34</f>
        <v>82</v>
      </c>
      <c r="I34" s="364"/>
      <c r="J34" s="361">
        <v>2199</v>
      </c>
      <c r="K34" s="362"/>
      <c r="L34" s="193">
        <f>4+8+1014+1185</f>
        <v>2211</v>
      </c>
      <c r="M34" s="363">
        <f aca="true" t="shared" si="8" ref="M34:M39">L34-J34</f>
        <v>12</v>
      </c>
      <c r="N34" s="364"/>
      <c r="O34" s="192">
        <f aca="true" t="shared" si="9" ref="O34:O39">F34+J34</f>
        <v>3686</v>
      </c>
      <c r="P34" s="363">
        <f>G34+L34</f>
        <v>3780</v>
      </c>
      <c r="Q34" s="364"/>
      <c r="R34" s="363">
        <f>P34-O34</f>
        <v>94</v>
      </c>
      <c r="S34" s="364"/>
      <c r="T34" s="188"/>
      <c r="U34" s="188"/>
      <c r="V34" s="188"/>
      <c r="W34" s="188"/>
      <c r="X34" s="188"/>
      <c r="Y34" s="188"/>
    </row>
    <row r="35" spans="1:25" s="18" customFormat="1" ht="27.75" customHeight="1">
      <c r="A35" s="398" t="s">
        <v>207</v>
      </c>
      <c r="B35" s="398"/>
      <c r="C35" s="398"/>
      <c r="D35" s="398"/>
      <c r="E35" s="398"/>
      <c r="F35" s="192">
        <v>1487</v>
      </c>
      <c r="G35" s="192">
        <v>1569</v>
      </c>
      <c r="H35" s="363">
        <f>G35-F35</f>
        <v>82</v>
      </c>
      <c r="I35" s="364"/>
      <c r="J35" s="361">
        <v>1746</v>
      </c>
      <c r="K35" s="362"/>
      <c r="L35" s="193">
        <v>1770</v>
      </c>
      <c r="M35" s="363">
        <f t="shared" si="8"/>
        <v>24</v>
      </c>
      <c r="N35" s="364"/>
      <c r="O35" s="192">
        <f t="shared" si="9"/>
        <v>3233</v>
      </c>
      <c r="P35" s="363">
        <f aca="true" t="shared" si="10" ref="P35:P40">G35+L35</f>
        <v>3339</v>
      </c>
      <c r="Q35" s="364"/>
      <c r="R35" s="363">
        <f aca="true" t="shared" si="11" ref="R35:R40">P35-O35</f>
        <v>106</v>
      </c>
      <c r="S35" s="364"/>
      <c r="T35" s="188"/>
      <c r="U35" s="188"/>
      <c r="V35" s="188"/>
      <c r="W35" s="188"/>
      <c r="X35" s="188"/>
      <c r="Y35" s="188"/>
    </row>
    <row r="36" spans="1:25" s="18" customFormat="1" ht="15" customHeight="1">
      <c r="A36" s="398" t="s">
        <v>208</v>
      </c>
      <c r="B36" s="398"/>
      <c r="C36" s="398"/>
      <c r="D36" s="398"/>
      <c r="E36" s="398"/>
      <c r="F36" s="192">
        <v>357</v>
      </c>
      <c r="G36" s="192">
        <v>356</v>
      </c>
      <c r="H36" s="363">
        <f>G36-F36</f>
        <v>-1</v>
      </c>
      <c r="I36" s="364"/>
      <c r="J36" s="361">
        <v>840</v>
      </c>
      <c r="K36" s="362"/>
      <c r="L36" s="193">
        <v>858</v>
      </c>
      <c r="M36" s="363">
        <f t="shared" si="8"/>
        <v>18</v>
      </c>
      <c r="N36" s="364"/>
      <c r="O36" s="192">
        <f t="shared" si="9"/>
        <v>1197</v>
      </c>
      <c r="P36" s="363">
        <f t="shared" si="10"/>
        <v>1214</v>
      </c>
      <c r="Q36" s="364"/>
      <c r="R36" s="363">
        <f t="shared" si="11"/>
        <v>17</v>
      </c>
      <c r="S36" s="364"/>
      <c r="T36" s="188"/>
      <c r="U36" s="188"/>
      <c r="V36" s="188"/>
      <c r="W36" s="188"/>
      <c r="X36" s="188"/>
      <c r="Y36" s="188"/>
    </row>
    <row r="37" spans="1:25" s="18" customFormat="1" ht="15" customHeight="1">
      <c r="A37" s="398" t="s">
        <v>228</v>
      </c>
      <c r="B37" s="398"/>
      <c r="C37" s="398"/>
      <c r="D37" s="398"/>
      <c r="E37" s="398"/>
      <c r="F37" s="192">
        <v>780</v>
      </c>
      <c r="G37" s="192">
        <v>858</v>
      </c>
      <c r="H37" s="363">
        <f>G37-F37</f>
        <v>78</v>
      </c>
      <c r="I37" s="364"/>
      <c r="J37" s="361">
        <v>425</v>
      </c>
      <c r="K37" s="362"/>
      <c r="L37" s="193">
        <v>431</v>
      </c>
      <c r="M37" s="363">
        <f t="shared" si="8"/>
        <v>6</v>
      </c>
      <c r="N37" s="364"/>
      <c r="O37" s="192">
        <f t="shared" si="9"/>
        <v>1205</v>
      </c>
      <c r="P37" s="363">
        <f t="shared" si="10"/>
        <v>1289</v>
      </c>
      <c r="Q37" s="364"/>
      <c r="R37" s="363">
        <f t="shared" si="11"/>
        <v>84</v>
      </c>
      <c r="S37" s="364"/>
      <c r="T37" s="188"/>
      <c r="U37" s="188"/>
      <c r="V37" s="188"/>
      <c r="W37" s="188"/>
      <c r="X37" s="188"/>
      <c r="Y37" s="188"/>
    </row>
    <row r="38" spans="1:25" s="18" customFormat="1" ht="14.25" customHeight="1">
      <c r="A38" s="417" t="s">
        <v>229</v>
      </c>
      <c r="B38" s="418"/>
      <c r="C38" s="418"/>
      <c r="D38" s="418"/>
      <c r="E38" s="419"/>
      <c r="F38" s="192">
        <v>350</v>
      </c>
      <c r="G38" s="192">
        <v>355</v>
      </c>
      <c r="H38" s="363">
        <f>G38-F38</f>
        <v>5</v>
      </c>
      <c r="I38" s="364"/>
      <c r="J38" s="361">
        <v>326</v>
      </c>
      <c r="K38" s="362"/>
      <c r="L38" s="193">
        <v>326</v>
      </c>
      <c r="M38" s="363">
        <f t="shared" si="8"/>
        <v>0</v>
      </c>
      <c r="N38" s="364"/>
      <c r="O38" s="192">
        <f t="shared" si="9"/>
        <v>676</v>
      </c>
      <c r="P38" s="363">
        <f t="shared" si="10"/>
        <v>681</v>
      </c>
      <c r="Q38" s="364"/>
      <c r="R38" s="363">
        <f t="shared" si="11"/>
        <v>5</v>
      </c>
      <c r="S38" s="364"/>
      <c r="T38" s="188"/>
      <c r="U38" s="188"/>
      <c r="V38" s="188"/>
      <c r="W38" s="188"/>
      <c r="X38" s="188"/>
      <c r="Y38" s="188"/>
    </row>
    <row r="39" spans="1:25" s="18" customFormat="1" ht="14.25" customHeight="1">
      <c r="A39" s="398" t="s">
        <v>253</v>
      </c>
      <c r="B39" s="398"/>
      <c r="C39" s="398"/>
      <c r="D39" s="398"/>
      <c r="E39" s="398"/>
      <c r="F39" s="192"/>
      <c r="G39" s="192"/>
      <c r="H39" s="363"/>
      <c r="I39" s="364"/>
      <c r="J39" s="361">
        <v>155</v>
      </c>
      <c r="K39" s="362"/>
      <c r="L39" s="193">
        <v>155</v>
      </c>
      <c r="M39" s="363">
        <f t="shared" si="8"/>
        <v>0</v>
      </c>
      <c r="N39" s="364"/>
      <c r="O39" s="192">
        <f t="shared" si="9"/>
        <v>155</v>
      </c>
      <c r="P39" s="363">
        <f t="shared" si="10"/>
        <v>155</v>
      </c>
      <c r="Q39" s="364"/>
      <c r="R39" s="363">
        <f t="shared" si="11"/>
        <v>0</v>
      </c>
      <c r="S39" s="364"/>
      <c r="T39" s="188"/>
      <c r="U39" s="188"/>
      <c r="V39" s="188"/>
      <c r="W39" s="188"/>
      <c r="X39" s="188"/>
      <c r="Y39" s="188"/>
    </row>
    <row r="40" spans="1:25" s="18" customFormat="1" ht="15.75" customHeight="1">
      <c r="A40" s="398" t="s">
        <v>209</v>
      </c>
      <c r="B40" s="398"/>
      <c r="C40" s="398"/>
      <c r="D40" s="398"/>
      <c r="E40" s="398"/>
      <c r="F40" s="192">
        <v>0</v>
      </c>
      <c r="G40" s="192">
        <v>0</v>
      </c>
      <c r="H40" s="366"/>
      <c r="I40" s="366"/>
      <c r="J40" s="363"/>
      <c r="K40" s="364"/>
      <c r="L40" s="193"/>
      <c r="M40" s="366"/>
      <c r="N40" s="366"/>
      <c r="O40" s="192">
        <f>F40+K40</f>
        <v>0</v>
      </c>
      <c r="P40" s="363">
        <f t="shared" si="10"/>
        <v>0</v>
      </c>
      <c r="Q40" s="364"/>
      <c r="R40" s="363">
        <f t="shared" si="11"/>
        <v>0</v>
      </c>
      <c r="S40" s="364"/>
      <c r="T40" s="188"/>
      <c r="U40" s="188"/>
      <c r="V40" s="188"/>
      <c r="W40" s="188"/>
      <c r="X40" s="188"/>
      <c r="Y40" s="188"/>
    </row>
    <row r="41" spans="1:25" s="18" customFormat="1" ht="20.25" customHeight="1">
      <c r="A41" s="194"/>
      <c r="B41" s="194"/>
      <c r="C41" s="194"/>
      <c r="D41" s="194"/>
      <c r="E41" s="194"/>
      <c r="F41" s="195"/>
      <c r="G41" s="196"/>
      <c r="H41" s="196"/>
      <c r="I41" s="196"/>
      <c r="J41" s="196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</row>
    <row r="42" spans="1:25" ht="64.5" customHeight="1">
      <c r="A42" s="408" t="s">
        <v>7</v>
      </c>
      <c r="B42" s="408"/>
      <c r="C42" s="408"/>
      <c r="D42" s="408"/>
      <c r="E42" s="408"/>
      <c r="F42" s="408"/>
      <c r="G42" s="408"/>
      <c r="H42" s="408"/>
      <c r="I42" s="408"/>
      <c r="J42" s="197"/>
      <c r="K42" s="198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ht="9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8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ht="21.75" customHeight="1">
      <c r="A44" s="409" t="s">
        <v>256</v>
      </c>
      <c r="B44" s="409"/>
      <c r="C44" s="409"/>
      <c r="D44" s="409"/>
      <c r="E44" s="409"/>
      <c r="F44" s="409"/>
      <c r="G44" s="409"/>
      <c r="H44" s="409"/>
      <c r="I44" s="409"/>
      <c r="J44" s="199"/>
      <c r="K44" s="198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</row>
    <row r="45" spans="1:25" ht="19.5" customHeight="1">
      <c r="A45" s="355" t="s">
        <v>152</v>
      </c>
      <c r="B45" s="355"/>
      <c r="C45" s="373" t="s">
        <v>249</v>
      </c>
      <c r="D45" s="373"/>
      <c r="E45" s="373"/>
      <c r="F45" s="373"/>
      <c r="G45" s="373" t="s">
        <v>250</v>
      </c>
      <c r="H45" s="373"/>
      <c r="I45" s="373"/>
      <c r="J45" s="373"/>
      <c r="K45" s="373"/>
      <c r="L45" s="373" t="s">
        <v>254</v>
      </c>
      <c r="M45" s="373"/>
      <c r="N45" s="373"/>
      <c r="O45" s="373"/>
      <c r="P45" s="373"/>
      <c r="Q45" s="373"/>
      <c r="R45" s="373"/>
      <c r="S45" s="184"/>
      <c r="T45" s="184"/>
      <c r="U45" s="184"/>
      <c r="V45" s="184"/>
      <c r="W45" s="184"/>
      <c r="X45" s="184"/>
      <c r="Y45" s="184"/>
    </row>
    <row r="46" spans="1:25" ht="21" customHeight="1">
      <c r="A46" s="355"/>
      <c r="B46" s="355"/>
      <c r="C46" s="355" t="s">
        <v>148</v>
      </c>
      <c r="D46" s="355"/>
      <c r="E46" s="355" t="s">
        <v>24</v>
      </c>
      <c r="F46" s="355"/>
      <c r="G46" s="355" t="s">
        <v>148</v>
      </c>
      <c r="H46" s="355"/>
      <c r="I46" s="355" t="s">
        <v>24</v>
      </c>
      <c r="J46" s="355"/>
      <c r="K46" s="355"/>
      <c r="L46" s="355" t="s">
        <v>148</v>
      </c>
      <c r="M46" s="355"/>
      <c r="N46" s="355" t="s">
        <v>24</v>
      </c>
      <c r="O46" s="355"/>
      <c r="P46" s="355" t="s">
        <v>255</v>
      </c>
      <c r="Q46" s="355"/>
      <c r="R46" s="355"/>
      <c r="S46" s="184"/>
      <c r="T46" s="184"/>
      <c r="U46" s="184"/>
      <c r="V46" s="184"/>
      <c r="W46" s="184"/>
      <c r="X46" s="184"/>
      <c r="Y46" s="184"/>
    </row>
    <row r="47" spans="1:25" ht="18.75" customHeight="1">
      <c r="A47" s="351" t="s">
        <v>153</v>
      </c>
      <c r="B47" s="351"/>
      <c r="C47" s="344">
        <v>66.266</v>
      </c>
      <c r="D47" s="344"/>
      <c r="E47" s="344">
        <v>16.657</v>
      </c>
      <c r="F47" s="344"/>
      <c r="G47" s="365">
        <v>17.22</v>
      </c>
      <c r="H47" s="365"/>
      <c r="I47" s="365">
        <v>8.69</v>
      </c>
      <c r="J47" s="365"/>
      <c r="K47" s="365"/>
      <c r="L47" s="344">
        <f>C47+G47</f>
        <v>83.486</v>
      </c>
      <c r="M47" s="344"/>
      <c r="N47" s="344">
        <f>E47+I47</f>
        <v>25.347</v>
      </c>
      <c r="O47" s="344"/>
      <c r="P47" s="344">
        <f>L47+N47</f>
        <v>108.833</v>
      </c>
      <c r="Q47" s="344"/>
      <c r="R47" s="344"/>
      <c r="S47" s="184"/>
      <c r="T47" s="184"/>
      <c r="U47" s="184"/>
      <c r="V47" s="184"/>
      <c r="W47" s="184"/>
      <c r="X47" s="184"/>
      <c r="Y47" s="184"/>
    </row>
    <row r="48" spans="1:25" ht="18.75" customHeight="1">
      <c r="A48" s="351" t="s">
        <v>154</v>
      </c>
      <c r="B48" s="351"/>
      <c r="C48" s="344">
        <v>79.927</v>
      </c>
      <c r="D48" s="344"/>
      <c r="E48" s="344">
        <v>67.798</v>
      </c>
      <c r="F48" s="344"/>
      <c r="G48" s="365">
        <v>64.957</v>
      </c>
      <c r="H48" s="365"/>
      <c r="I48" s="365">
        <v>66.12</v>
      </c>
      <c r="J48" s="365"/>
      <c r="K48" s="365"/>
      <c r="L48" s="344">
        <f>C48+G48</f>
        <v>144.88400000000001</v>
      </c>
      <c r="M48" s="344"/>
      <c r="N48" s="344">
        <f>E48+I48</f>
        <v>133.918</v>
      </c>
      <c r="O48" s="344"/>
      <c r="P48" s="344">
        <f>L48+N48</f>
        <v>278.802</v>
      </c>
      <c r="Q48" s="344"/>
      <c r="R48" s="344"/>
      <c r="S48" s="184"/>
      <c r="T48" s="184"/>
      <c r="U48" s="184"/>
      <c r="V48" s="184"/>
      <c r="W48" s="184"/>
      <c r="X48" s="184"/>
      <c r="Y48" s="184"/>
    </row>
    <row r="49" spans="1:25" ht="18.75" customHeight="1">
      <c r="A49" s="352" t="s">
        <v>258</v>
      </c>
      <c r="B49" s="352"/>
      <c r="C49" s="344">
        <f>C47+C48</f>
        <v>146.193</v>
      </c>
      <c r="D49" s="344"/>
      <c r="E49" s="344">
        <f>E47+E48</f>
        <v>84.455</v>
      </c>
      <c r="F49" s="344"/>
      <c r="G49" s="365">
        <f>G47+G48</f>
        <v>82.17699999999999</v>
      </c>
      <c r="H49" s="365"/>
      <c r="I49" s="365">
        <f>I47+I48</f>
        <v>74.81</v>
      </c>
      <c r="J49" s="365"/>
      <c r="K49" s="365"/>
      <c r="L49" s="344">
        <f>L47+L48</f>
        <v>228.37</v>
      </c>
      <c r="M49" s="344"/>
      <c r="N49" s="344">
        <f>N47+N48</f>
        <v>159.26500000000001</v>
      </c>
      <c r="O49" s="344"/>
      <c r="P49" s="344">
        <f>P47+P48</f>
        <v>387.635</v>
      </c>
      <c r="Q49" s="344"/>
      <c r="R49" s="344"/>
      <c r="S49" s="184"/>
      <c r="T49" s="184"/>
      <c r="U49" s="184"/>
      <c r="V49" s="184"/>
      <c r="W49" s="184"/>
      <c r="X49" s="184"/>
      <c r="Y49" s="184"/>
    </row>
    <row r="50" spans="1:25" ht="13.5" customHeigh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</row>
    <row r="51" spans="1:25" ht="13.5" customHeight="1">
      <c r="A51" s="369" t="s">
        <v>257</v>
      </c>
      <c r="B51" s="369"/>
      <c r="C51" s="369"/>
      <c r="D51" s="369"/>
      <c r="E51" s="369"/>
      <c r="F51" s="369"/>
      <c r="G51" s="369"/>
      <c r="H51" s="369"/>
      <c r="I51" s="369"/>
      <c r="J51" s="200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</row>
    <row r="52" spans="1:25" ht="53.25" customHeight="1">
      <c r="A52" s="345" t="s">
        <v>155</v>
      </c>
      <c r="B52" s="346"/>
      <c r="C52" s="346"/>
      <c r="D52" s="347"/>
      <c r="E52" s="355" t="s">
        <v>259</v>
      </c>
      <c r="F52" s="355"/>
      <c r="G52" s="355" t="s">
        <v>260</v>
      </c>
      <c r="H52" s="355"/>
      <c r="I52" s="355" t="s">
        <v>261</v>
      </c>
      <c r="J52" s="355"/>
      <c r="K52" s="355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</row>
    <row r="53" spans="1:25" ht="33.75" customHeight="1">
      <c r="A53" s="348" t="s">
        <v>416</v>
      </c>
      <c r="B53" s="349"/>
      <c r="C53" s="349"/>
      <c r="D53" s="350"/>
      <c r="E53" s="351">
        <f>5+72</f>
        <v>77</v>
      </c>
      <c r="F53" s="351"/>
      <c r="G53" s="351">
        <f>79</f>
        <v>79</v>
      </c>
      <c r="H53" s="351"/>
      <c r="I53" s="351">
        <f>E53+G53</f>
        <v>156</v>
      </c>
      <c r="J53" s="351"/>
      <c r="K53" s="351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</row>
    <row r="54" spans="1:25" ht="30.75" customHeight="1">
      <c r="A54" s="348" t="s">
        <v>417</v>
      </c>
      <c r="B54" s="349"/>
      <c r="C54" s="349"/>
      <c r="D54" s="350"/>
      <c r="E54" s="351"/>
      <c r="F54" s="351"/>
      <c r="G54" s="351">
        <v>1</v>
      </c>
      <c r="H54" s="351"/>
      <c r="I54" s="351">
        <f>E54+G54</f>
        <v>1</v>
      </c>
      <c r="J54" s="351"/>
      <c r="K54" s="351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</row>
    <row r="55" spans="1:25" ht="23.25" customHeight="1">
      <c r="A55" s="370" t="s">
        <v>258</v>
      </c>
      <c r="B55" s="371"/>
      <c r="C55" s="371"/>
      <c r="D55" s="372"/>
      <c r="E55" s="356">
        <f>E53+E54</f>
        <v>77</v>
      </c>
      <c r="F55" s="357"/>
      <c r="G55" s="356">
        <f>G53+G54</f>
        <v>80</v>
      </c>
      <c r="H55" s="357"/>
      <c r="I55" s="356">
        <f>I53+I54</f>
        <v>157</v>
      </c>
      <c r="J55" s="358"/>
      <c r="K55" s="357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</row>
    <row r="56" spans="1:25" ht="9.75" customHeight="1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</row>
    <row r="57" spans="1:25" ht="57" customHeight="1">
      <c r="A57" s="368" t="s">
        <v>8</v>
      </c>
      <c r="B57" s="368"/>
      <c r="C57" s="368"/>
      <c r="D57" s="368"/>
      <c r="E57" s="368"/>
      <c r="F57" s="368"/>
      <c r="G57" s="368"/>
      <c r="H57" s="368"/>
      <c r="I57" s="368"/>
      <c r="J57" s="186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</row>
    <row r="58" spans="1:25" ht="16.5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</row>
    <row r="59" spans="1:25" ht="21.75" customHeight="1">
      <c r="A59" s="367" t="s">
        <v>203</v>
      </c>
      <c r="B59" s="367"/>
      <c r="C59" s="367"/>
      <c r="D59" s="355" t="s">
        <v>249</v>
      </c>
      <c r="E59" s="355"/>
      <c r="F59" s="355"/>
      <c r="G59" s="355"/>
      <c r="H59" s="355"/>
      <c r="I59" s="355"/>
      <c r="J59" s="345" t="s">
        <v>250</v>
      </c>
      <c r="K59" s="346"/>
      <c r="L59" s="346"/>
      <c r="M59" s="346"/>
      <c r="N59" s="346"/>
      <c r="O59" s="346"/>
      <c r="P59" s="347"/>
      <c r="Q59" s="345" t="s">
        <v>262</v>
      </c>
      <c r="R59" s="346"/>
      <c r="S59" s="346"/>
      <c r="T59" s="346"/>
      <c r="U59" s="346"/>
      <c r="V59" s="346"/>
      <c r="W59" s="347"/>
      <c r="X59" s="184"/>
      <c r="Y59" s="184"/>
    </row>
    <row r="60" spans="1:25" ht="72" customHeight="1">
      <c r="A60" s="367"/>
      <c r="B60" s="367"/>
      <c r="C60" s="367"/>
      <c r="D60" s="367" t="s">
        <v>212</v>
      </c>
      <c r="E60" s="367"/>
      <c r="F60" s="367" t="s">
        <v>213</v>
      </c>
      <c r="G60" s="367"/>
      <c r="H60" s="367" t="s">
        <v>204</v>
      </c>
      <c r="I60" s="367"/>
      <c r="J60" s="429" t="s">
        <v>212</v>
      </c>
      <c r="K60" s="430"/>
      <c r="L60" s="431"/>
      <c r="M60" s="367" t="s">
        <v>213</v>
      </c>
      <c r="N60" s="367"/>
      <c r="O60" s="367" t="s">
        <v>204</v>
      </c>
      <c r="P60" s="367"/>
      <c r="Q60" s="429" t="s">
        <v>212</v>
      </c>
      <c r="R60" s="430"/>
      <c r="S60" s="431"/>
      <c r="T60" s="367" t="s">
        <v>213</v>
      </c>
      <c r="U60" s="367"/>
      <c r="V60" s="367" t="s">
        <v>204</v>
      </c>
      <c r="W60" s="367"/>
      <c r="X60" s="184"/>
      <c r="Y60" s="184"/>
    </row>
    <row r="61" spans="1:25" ht="33" customHeight="1">
      <c r="A61" s="367"/>
      <c r="B61" s="367"/>
      <c r="C61" s="367"/>
      <c r="D61" s="202" t="s">
        <v>210</v>
      </c>
      <c r="E61" s="202" t="s">
        <v>211</v>
      </c>
      <c r="F61" s="202">
        <v>2014</v>
      </c>
      <c r="G61" s="202">
        <v>2015</v>
      </c>
      <c r="H61" s="202">
        <v>2014</v>
      </c>
      <c r="I61" s="202">
        <v>2015</v>
      </c>
      <c r="J61" s="202" t="s">
        <v>414</v>
      </c>
      <c r="K61" s="202" t="s">
        <v>210</v>
      </c>
      <c r="L61" s="202" t="s">
        <v>211</v>
      </c>
      <c r="M61" s="202">
        <v>2014</v>
      </c>
      <c r="N61" s="202">
        <v>2015</v>
      </c>
      <c r="O61" s="202">
        <v>2014</v>
      </c>
      <c r="P61" s="202">
        <v>2015</v>
      </c>
      <c r="Q61" s="202" t="s">
        <v>414</v>
      </c>
      <c r="R61" s="202" t="s">
        <v>210</v>
      </c>
      <c r="S61" s="202" t="s">
        <v>211</v>
      </c>
      <c r="T61" s="202">
        <v>2014</v>
      </c>
      <c r="U61" s="202">
        <v>2015</v>
      </c>
      <c r="V61" s="202">
        <v>2014</v>
      </c>
      <c r="W61" s="202">
        <v>2015</v>
      </c>
      <c r="X61" s="184"/>
      <c r="Y61" s="184"/>
    </row>
    <row r="62" spans="1:25" ht="16.5" customHeight="1">
      <c r="A62" s="360" t="s">
        <v>214</v>
      </c>
      <c r="B62" s="360"/>
      <c r="C62" s="360"/>
      <c r="D62" s="203">
        <v>57</v>
      </c>
      <c r="E62" s="203"/>
      <c r="F62" s="203">
        <f>D62+E62</f>
        <v>57</v>
      </c>
      <c r="G62" s="204">
        <f aca="true" t="shared" si="12" ref="G62:G70">F62</f>
        <v>57</v>
      </c>
      <c r="H62" s="205" t="s">
        <v>221</v>
      </c>
      <c r="I62" s="205" t="s">
        <v>225</v>
      </c>
      <c r="J62" s="205"/>
      <c r="K62" s="206">
        <v>117</v>
      </c>
      <c r="L62" s="206"/>
      <c r="M62" s="206">
        <v>117</v>
      </c>
      <c r="N62" s="207">
        <v>117</v>
      </c>
      <c r="O62" s="208" t="s">
        <v>406</v>
      </c>
      <c r="P62" s="208" t="s">
        <v>409</v>
      </c>
      <c r="Q62" s="209"/>
      <c r="R62" s="206" t="s">
        <v>409</v>
      </c>
      <c r="S62" s="206">
        <f aca="true" t="shared" si="13" ref="S62:U66">E62+L62</f>
        <v>0</v>
      </c>
      <c r="T62" s="206">
        <f t="shared" si="13"/>
        <v>174</v>
      </c>
      <c r="U62" s="206">
        <f t="shared" si="13"/>
        <v>174</v>
      </c>
      <c r="V62" s="205" t="s">
        <v>221</v>
      </c>
      <c r="W62" s="205" t="s">
        <v>225</v>
      </c>
      <c r="X62" s="184"/>
      <c r="Y62" s="184"/>
    </row>
    <row r="63" spans="1:25" ht="16.5" customHeight="1">
      <c r="A63" s="359" t="s">
        <v>215</v>
      </c>
      <c r="B63" s="359"/>
      <c r="C63" s="359"/>
      <c r="D63" s="203"/>
      <c r="E63" s="203">
        <f>249+54+6</f>
        <v>309</v>
      </c>
      <c r="F63" s="203">
        <f>D63+E63</f>
        <v>309</v>
      </c>
      <c r="G63" s="204">
        <f t="shared" si="12"/>
        <v>309</v>
      </c>
      <c r="H63" s="205" t="s">
        <v>221</v>
      </c>
      <c r="I63" s="205" t="s">
        <v>225</v>
      </c>
      <c r="J63" s="205"/>
      <c r="K63" s="206"/>
      <c r="L63" s="206">
        <v>160</v>
      </c>
      <c r="M63" s="206">
        <v>160</v>
      </c>
      <c r="N63" s="207">
        <v>160</v>
      </c>
      <c r="O63" s="208" t="s">
        <v>221</v>
      </c>
      <c r="P63" s="208" t="s">
        <v>225</v>
      </c>
      <c r="Q63" s="209"/>
      <c r="R63" s="206">
        <v>0</v>
      </c>
      <c r="S63" s="206">
        <f t="shared" si="13"/>
        <v>469</v>
      </c>
      <c r="T63" s="206">
        <f t="shared" si="13"/>
        <v>469</v>
      </c>
      <c r="U63" s="206">
        <f t="shared" si="13"/>
        <v>469</v>
      </c>
      <c r="V63" s="205" t="s">
        <v>221</v>
      </c>
      <c r="W63" s="205" t="s">
        <v>225</v>
      </c>
      <c r="X63" s="184"/>
      <c r="Y63" s="184"/>
    </row>
    <row r="64" spans="1:25" ht="16.5" customHeight="1">
      <c r="A64" s="359" t="s">
        <v>216</v>
      </c>
      <c r="B64" s="359"/>
      <c r="C64" s="359"/>
      <c r="D64" s="203">
        <v>7</v>
      </c>
      <c r="E64" s="203"/>
      <c r="F64" s="203">
        <f>D64+E64</f>
        <v>7</v>
      </c>
      <c r="G64" s="204">
        <f t="shared" si="12"/>
        <v>7</v>
      </c>
      <c r="H64" s="205">
        <v>0</v>
      </c>
      <c r="I64" s="205" t="s">
        <v>220</v>
      </c>
      <c r="J64" s="205"/>
      <c r="K64" s="206">
        <v>1</v>
      </c>
      <c r="L64" s="206"/>
      <c r="M64" s="206">
        <v>1</v>
      </c>
      <c r="N64" s="207">
        <v>1</v>
      </c>
      <c r="O64" s="208" t="s">
        <v>407</v>
      </c>
      <c r="P64" s="208" t="s">
        <v>407</v>
      </c>
      <c r="Q64" s="209"/>
      <c r="R64" s="206">
        <v>8</v>
      </c>
      <c r="S64" s="206">
        <f t="shared" si="13"/>
        <v>0</v>
      </c>
      <c r="T64" s="206">
        <f t="shared" si="13"/>
        <v>8</v>
      </c>
      <c r="U64" s="206">
        <f t="shared" si="13"/>
        <v>8</v>
      </c>
      <c r="V64" s="205">
        <v>0</v>
      </c>
      <c r="W64" s="205" t="s">
        <v>220</v>
      </c>
      <c r="X64" s="184"/>
      <c r="Y64" s="184"/>
    </row>
    <row r="65" spans="1:25" ht="16.5" customHeight="1">
      <c r="A65" s="359" t="s">
        <v>217</v>
      </c>
      <c r="B65" s="359"/>
      <c r="C65" s="359"/>
      <c r="D65" s="203">
        <v>187</v>
      </c>
      <c r="E65" s="203"/>
      <c r="F65" s="203">
        <f>D65+E65</f>
        <v>187</v>
      </c>
      <c r="G65" s="204">
        <f t="shared" si="12"/>
        <v>187</v>
      </c>
      <c r="H65" s="205" t="s">
        <v>221</v>
      </c>
      <c r="I65" s="205" t="s">
        <v>225</v>
      </c>
      <c r="J65" s="205"/>
      <c r="K65" s="206">
        <v>192</v>
      </c>
      <c r="L65" s="206"/>
      <c r="M65" s="206">
        <v>192</v>
      </c>
      <c r="N65" s="207">
        <v>192</v>
      </c>
      <c r="O65" s="208" t="s">
        <v>406</v>
      </c>
      <c r="P65" s="208" t="s">
        <v>409</v>
      </c>
      <c r="Q65" s="209"/>
      <c r="R65" s="206">
        <v>379</v>
      </c>
      <c r="S65" s="206">
        <f t="shared" si="13"/>
        <v>0</v>
      </c>
      <c r="T65" s="206">
        <f t="shared" si="13"/>
        <v>379</v>
      </c>
      <c r="U65" s="206">
        <f t="shared" si="13"/>
        <v>379</v>
      </c>
      <c r="V65" s="205" t="s">
        <v>221</v>
      </c>
      <c r="W65" s="205" t="s">
        <v>225</v>
      </c>
      <c r="X65" s="184"/>
      <c r="Y65" s="184"/>
    </row>
    <row r="66" spans="1:25" ht="16.5" customHeight="1">
      <c r="A66" s="359" t="s">
        <v>218</v>
      </c>
      <c r="B66" s="359"/>
      <c r="C66" s="359"/>
      <c r="D66" s="203">
        <v>312</v>
      </c>
      <c r="E66" s="203">
        <v>817</v>
      </c>
      <c r="F66" s="203">
        <f>D66+E66</f>
        <v>1129</v>
      </c>
      <c r="G66" s="204">
        <f t="shared" si="12"/>
        <v>1129</v>
      </c>
      <c r="H66" s="205" t="s">
        <v>221</v>
      </c>
      <c r="I66" s="205" t="s">
        <v>225</v>
      </c>
      <c r="J66" s="205"/>
      <c r="K66" s="206">
        <v>378</v>
      </c>
      <c r="L66" s="206">
        <v>938</v>
      </c>
      <c r="M66" s="206">
        <v>1316</v>
      </c>
      <c r="N66" s="207">
        <v>1316</v>
      </c>
      <c r="O66" s="208" t="s">
        <v>406</v>
      </c>
      <c r="P66" s="208" t="s">
        <v>409</v>
      </c>
      <c r="Q66" s="209"/>
      <c r="R66" s="206">
        <v>690</v>
      </c>
      <c r="S66" s="206">
        <f t="shared" si="13"/>
        <v>1755</v>
      </c>
      <c r="T66" s="206">
        <f t="shared" si="13"/>
        <v>2445</v>
      </c>
      <c r="U66" s="206">
        <f t="shared" si="13"/>
        <v>2445</v>
      </c>
      <c r="V66" s="205" t="s">
        <v>221</v>
      </c>
      <c r="W66" s="205" t="s">
        <v>225</v>
      </c>
      <c r="X66" s="184"/>
      <c r="Y66" s="184"/>
    </row>
    <row r="67" spans="1:25" ht="29.25" customHeight="1">
      <c r="A67" s="395" t="s">
        <v>219</v>
      </c>
      <c r="B67" s="396"/>
      <c r="C67" s="397"/>
      <c r="D67" s="392">
        <v>129</v>
      </c>
      <c r="E67" s="393"/>
      <c r="F67" s="203">
        <v>129</v>
      </c>
      <c r="G67" s="203">
        <f t="shared" si="12"/>
        <v>129</v>
      </c>
      <c r="H67" s="205" t="s">
        <v>222</v>
      </c>
      <c r="I67" s="205" t="s">
        <v>226</v>
      </c>
      <c r="J67" s="210"/>
      <c r="K67" s="353">
        <v>125</v>
      </c>
      <c r="L67" s="354"/>
      <c r="M67" s="206">
        <v>125</v>
      </c>
      <c r="N67" s="206">
        <v>125</v>
      </c>
      <c r="O67" s="208" t="s">
        <v>408</v>
      </c>
      <c r="P67" s="208" t="s">
        <v>408</v>
      </c>
      <c r="Q67" s="209"/>
      <c r="R67" s="394">
        <f>D67+K67</f>
        <v>254</v>
      </c>
      <c r="S67" s="394"/>
      <c r="T67" s="206">
        <f>F67+M67</f>
        <v>254</v>
      </c>
      <c r="U67" s="206">
        <f>G67+N67</f>
        <v>254</v>
      </c>
      <c r="V67" s="205" t="s">
        <v>222</v>
      </c>
      <c r="W67" s="205" t="s">
        <v>226</v>
      </c>
      <c r="X67" s="184"/>
      <c r="Y67" s="184"/>
    </row>
    <row r="68" spans="1:25" ht="29.25" customHeight="1">
      <c r="A68" s="395" t="s">
        <v>415</v>
      </c>
      <c r="B68" s="396"/>
      <c r="C68" s="397"/>
      <c r="D68" s="203"/>
      <c r="E68" s="203"/>
      <c r="F68" s="203"/>
      <c r="G68" s="203"/>
      <c r="H68" s="205"/>
      <c r="I68" s="205"/>
      <c r="J68" s="210" t="s">
        <v>150</v>
      </c>
      <c r="K68" s="211"/>
      <c r="L68" s="212"/>
      <c r="M68" s="206">
        <v>2</v>
      </c>
      <c r="N68" s="206">
        <v>2</v>
      </c>
      <c r="O68" s="208"/>
      <c r="P68" s="208"/>
      <c r="Q68" s="209" t="s">
        <v>150</v>
      </c>
      <c r="R68" s="206"/>
      <c r="S68" s="206"/>
      <c r="T68" s="206">
        <v>2</v>
      </c>
      <c r="U68" s="206">
        <v>2</v>
      </c>
      <c r="V68" s="205"/>
      <c r="W68" s="205"/>
      <c r="X68" s="184"/>
      <c r="Y68" s="184"/>
    </row>
    <row r="69" spans="1:25" ht="16.5" customHeight="1">
      <c r="A69" s="391" t="s">
        <v>153</v>
      </c>
      <c r="B69" s="391"/>
      <c r="C69" s="391"/>
      <c r="D69" s="204">
        <v>66.266</v>
      </c>
      <c r="E69" s="204">
        <v>16.657</v>
      </c>
      <c r="F69" s="204">
        <f>D69+E69</f>
        <v>82.923</v>
      </c>
      <c r="G69" s="204">
        <f t="shared" si="12"/>
        <v>82.923</v>
      </c>
      <c r="H69" s="205" t="s">
        <v>223</v>
      </c>
      <c r="I69" s="205" t="s">
        <v>224</v>
      </c>
      <c r="J69" s="205"/>
      <c r="K69" s="213">
        <v>17.22</v>
      </c>
      <c r="L69" s="213">
        <v>8.69</v>
      </c>
      <c r="M69" s="204">
        <f>K69+L69</f>
        <v>25.909999999999997</v>
      </c>
      <c r="N69" s="204">
        <f>M69</f>
        <v>25.909999999999997</v>
      </c>
      <c r="O69" s="208" t="s">
        <v>223</v>
      </c>
      <c r="P69" s="208" t="s">
        <v>224</v>
      </c>
      <c r="Q69" s="209"/>
      <c r="R69" s="206">
        <f aca="true" t="shared" si="14" ref="R69:U70">D69+K69</f>
        <v>83.486</v>
      </c>
      <c r="S69" s="206">
        <f t="shared" si="14"/>
        <v>25.347</v>
      </c>
      <c r="T69" s="206">
        <f t="shared" si="14"/>
        <v>108.833</v>
      </c>
      <c r="U69" s="206">
        <f t="shared" si="14"/>
        <v>108.833</v>
      </c>
      <c r="V69" s="205" t="s">
        <v>223</v>
      </c>
      <c r="W69" s="205" t="s">
        <v>224</v>
      </c>
      <c r="X69" s="184"/>
      <c r="Y69" s="184"/>
    </row>
    <row r="70" spans="1:25" ht="16.5" customHeight="1">
      <c r="A70" s="391" t="s">
        <v>154</v>
      </c>
      <c r="B70" s="391"/>
      <c r="C70" s="391"/>
      <c r="D70" s="204">
        <v>79.927</v>
      </c>
      <c r="E70" s="204">
        <v>67.798</v>
      </c>
      <c r="F70" s="204">
        <f>D70+E70</f>
        <v>147.72500000000002</v>
      </c>
      <c r="G70" s="204">
        <f t="shared" si="12"/>
        <v>147.72500000000002</v>
      </c>
      <c r="H70" s="205" t="s">
        <v>222</v>
      </c>
      <c r="I70" s="205" t="s">
        <v>227</v>
      </c>
      <c r="J70" s="205"/>
      <c r="K70" s="213">
        <v>64.957</v>
      </c>
      <c r="L70" s="213">
        <v>66.12</v>
      </c>
      <c r="M70" s="204">
        <f>K70+L70</f>
        <v>131.077</v>
      </c>
      <c r="N70" s="204">
        <f>M70</f>
        <v>131.077</v>
      </c>
      <c r="O70" s="208" t="s">
        <v>223</v>
      </c>
      <c r="P70" s="208" t="s">
        <v>224</v>
      </c>
      <c r="Q70" s="209"/>
      <c r="R70" s="206">
        <f t="shared" si="14"/>
        <v>144.88400000000001</v>
      </c>
      <c r="S70" s="206">
        <f t="shared" si="14"/>
        <v>133.918</v>
      </c>
      <c r="T70" s="206">
        <f t="shared" si="14"/>
        <v>278.802</v>
      </c>
      <c r="U70" s="206">
        <f t="shared" si="14"/>
        <v>278.802</v>
      </c>
      <c r="V70" s="205" t="s">
        <v>222</v>
      </c>
      <c r="W70" s="205" t="s">
        <v>227</v>
      </c>
      <c r="X70" s="184"/>
      <c r="Y70" s="184"/>
    </row>
    <row r="71" ht="34.5" customHeight="1">
      <c r="L71" s="162"/>
    </row>
    <row r="72" spans="12:13" ht="34.5" customHeight="1">
      <c r="L72" s="162"/>
      <c r="M72" s="162"/>
    </row>
    <row r="73" ht="34.5" customHeight="1"/>
    <row r="74" ht="34.5" customHeight="1"/>
    <row r="75" ht="34.5" customHeight="1"/>
    <row r="76" ht="34.5" customHeight="1"/>
  </sheetData>
  <sheetProtection/>
  <mergeCells count="193">
    <mergeCell ref="P38:Q38"/>
    <mergeCell ref="P39:Q39"/>
    <mergeCell ref="P40:Q40"/>
    <mergeCell ref="P16:Q16"/>
    <mergeCell ref="P18:Q18"/>
    <mergeCell ref="P20:Q20"/>
    <mergeCell ref="P21:Q21"/>
    <mergeCell ref="P25:Q25"/>
    <mergeCell ref="P23:Q23"/>
    <mergeCell ref="J25:K25"/>
    <mergeCell ref="J26:R26"/>
    <mergeCell ref="J27:K27"/>
    <mergeCell ref="J28:K28"/>
    <mergeCell ref="J31:N31"/>
    <mergeCell ref="J32:L32"/>
    <mergeCell ref="P27:Q27"/>
    <mergeCell ref="P28:Q28"/>
    <mergeCell ref="O32:Q32"/>
    <mergeCell ref="J20:K20"/>
    <mergeCell ref="J21:K21"/>
    <mergeCell ref="J22:N22"/>
    <mergeCell ref="J23:K23"/>
    <mergeCell ref="J24:R24"/>
    <mergeCell ref="O22:R22"/>
    <mergeCell ref="A68:C68"/>
    <mergeCell ref="J59:P59"/>
    <mergeCell ref="J60:L60"/>
    <mergeCell ref="Q59:W59"/>
    <mergeCell ref="Q60:S60"/>
    <mergeCell ref="J14:R14"/>
    <mergeCell ref="J15:N15"/>
    <mergeCell ref="J16:K16"/>
    <mergeCell ref="J17:R17"/>
    <mergeCell ref="J18:K18"/>
    <mergeCell ref="G22:I22"/>
    <mergeCell ref="A22:A23"/>
    <mergeCell ref="B22:B23"/>
    <mergeCell ref="C22:F22"/>
    <mergeCell ref="A17:A20"/>
    <mergeCell ref="B17:B20"/>
    <mergeCell ref="C19:I19"/>
    <mergeCell ref="C24:I24"/>
    <mergeCell ref="A28:B28"/>
    <mergeCell ref="C26:I26"/>
    <mergeCell ref="A24:A27"/>
    <mergeCell ref="F32:G32"/>
    <mergeCell ref="H34:I34"/>
    <mergeCell ref="B24:B27"/>
    <mergeCell ref="F31:I31"/>
    <mergeCell ref="A31:E33"/>
    <mergeCell ref="A34:E34"/>
    <mergeCell ref="A35:E35"/>
    <mergeCell ref="I46:K46"/>
    <mergeCell ref="H37:I37"/>
    <mergeCell ref="H38:I38"/>
    <mergeCell ref="H35:I35"/>
    <mergeCell ref="G46:H46"/>
    <mergeCell ref="C46:D46"/>
    <mergeCell ref="H40:I40"/>
    <mergeCell ref="A36:E36"/>
    <mergeCell ref="J35:K35"/>
    <mergeCell ref="H36:I36"/>
    <mergeCell ref="A45:B46"/>
    <mergeCell ref="C45:F45"/>
    <mergeCell ref="E47:F47"/>
    <mergeCell ref="C48:D48"/>
    <mergeCell ref="E48:F48"/>
    <mergeCell ref="A37:E37"/>
    <mergeCell ref="A38:E38"/>
    <mergeCell ref="A13:I13"/>
    <mergeCell ref="A30:I30"/>
    <mergeCell ref="A42:I42"/>
    <mergeCell ref="C15:F15"/>
    <mergeCell ref="G15:I15"/>
    <mergeCell ref="G45:K45"/>
    <mergeCell ref="A44:I44"/>
    <mergeCell ref="B14:B16"/>
    <mergeCell ref="J33:K33"/>
    <mergeCell ref="C14:I14"/>
    <mergeCell ref="A7:I7"/>
    <mergeCell ref="A8:I8"/>
    <mergeCell ref="A9:I9"/>
    <mergeCell ref="A11:I11"/>
    <mergeCell ref="H39:I39"/>
    <mergeCell ref="A39:E39"/>
    <mergeCell ref="H32:I33"/>
    <mergeCell ref="C17:I17"/>
    <mergeCell ref="A21:B21"/>
    <mergeCell ref="A14:A16"/>
    <mergeCell ref="H60:I60"/>
    <mergeCell ref="F60:G60"/>
    <mergeCell ref="D60:E60"/>
    <mergeCell ref="A40:E40"/>
    <mergeCell ref="E46:F46"/>
    <mergeCell ref="A47:B47"/>
    <mergeCell ref="A48:B48"/>
    <mergeCell ref="C47:D47"/>
    <mergeCell ref="E52:F52"/>
    <mergeCell ref="A70:C70"/>
    <mergeCell ref="D67:E67"/>
    <mergeCell ref="E53:F53"/>
    <mergeCell ref="G53:H53"/>
    <mergeCell ref="R67:S67"/>
    <mergeCell ref="A69:C69"/>
    <mergeCell ref="A65:C65"/>
    <mergeCell ref="A66:C66"/>
    <mergeCell ref="A67:C67"/>
    <mergeCell ref="A59:C61"/>
    <mergeCell ref="O15:R15"/>
    <mergeCell ref="J34:K34"/>
    <mergeCell ref="J36:K36"/>
    <mergeCell ref="J37:K37"/>
    <mergeCell ref="J38:K38"/>
    <mergeCell ref="R32:S33"/>
    <mergeCell ref="M37:N37"/>
    <mergeCell ref="M38:N38"/>
    <mergeCell ref="J19:R19"/>
    <mergeCell ref="S24:Y24"/>
    <mergeCell ref="S14:Y14"/>
    <mergeCell ref="S15:V15"/>
    <mergeCell ref="W15:Y15"/>
    <mergeCell ref="S17:Y17"/>
    <mergeCell ref="S19:Y19"/>
    <mergeCell ref="S22:V22"/>
    <mergeCell ref="W22:Y22"/>
    <mergeCell ref="S26:Y26"/>
    <mergeCell ref="M32:N33"/>
    <mergeCell ref="O31:S31"/>
    <mergeCell ref="R39:S39"/>
    <mergeCell ref="M34:N34"/>
    <mergeCell ref="M35:N35"/>
    <mergeCell ref="M36:N36"/>
    <mergeCell ref="P33:Q33"/>
    <mergeCell ref="P34:Q34"/>
    <mergeCell ref="P37:Q37"/>
    <mergeCell ref="N47:O47"/>
    <mergeCell ref="L48:M48"/>
    <mergeCell ref="R34:S34"/>
    <mergeCell ref="R35:S35"/>
    <mergeCell ref="R36:S36"/>
    <mergeCell ref="R37:S37"/>
    <mergeCell ref="R38:S38"/>
    <mergeCell ref="R40:S40"/>
    <mergeCell ref="P35:Q35"/>
    <mergeCell ref="P36:Q36"/>
    <mergeCell ref="P46:R46"/>
    <mergeCell ref="P47:R47"/>
    <mergeCell ref="P48:R48"/>
    <mergeCell ref="L45:R45"/>
    <mergeCell ref="G52:H52"/>
    <mergeCell ref="G47:H47"/>
    <mergeCell ref="I47:K47"/>
    <mergeCell ref="G48:H48"/>
    <mergeCell ref="I48:K48"/>
    <mergeCell ref="L46:M46"/>
    <mergeCell ref="T60:U60"/>
    <mergeCell ref="V60:W60"/>
    <mergeCell ref="N48:O48"/>
    <mergeCell ref="A57:I57"/>
    <mergeCell ref="A51:I51"/>
    <mergeCell ref="M60:N60"/>
    <mergeCell ref="O60:P60"/>
    <mergeCell ref="A55:D55"/>
    <mergeCell ref="I53:K53"/>
    <mergeCell ref="A54:D54"/>
    <mergeCell ref="J39:K39"/>
    <mergeCell ref="J40:K40"/>
    <mergeCell ref="E49:F49"/>
    <mergeCell ref="G49:H49"/>
    <mergeCell ref="I49:K49"/>
    <mergeCell ref="L49:M49"/>
    <mergeCell ref="M40:N40"/>
    <mergeCell ref="M39:N39"/>
    <mergeCell ref="N46:O46"/>
    <mergeCell ref="L47:M47"/>
    <mergeCell ref="K67:L67"/>
    <mergeCell ref="D59:I59"/>
    <mergeCell ref="E55:F55"/>
    <mergeCell ref="G55:H55"/>
    <mergeCell ref="I55:K55"/>
    <mergeCell ref="C49:D49"/>
    <mergeCell ref="A63:C63"/>
    <mergeCell ref="A64:C64"/>
    <mergeCell ref="A62:C62"/>
    <mergeCell ref="I52:K52"/>
    <mergeCell ref="N49:O49"/>
    <mergeCell ref="P49:R49"/>
    <mergeCell ref="A52:D52"/>
    <mergeCell ref="A53:D53"/>
    <mergeCell ref="I54:K54"/>
    <mergeCell ref="E54:F54"/>
    <mergeCell ref="G54:H54"/>
    <mergeCell ref="A49:B49"/>
  </mergeCells>
  <printOptions/>
  <pageMargins left="0.7" right="0.7" top="0.75" bottom="0.75" header="0.3" footer="0.3"/>
  <pageSetup fitToHeight="3" fitToWidth="2" horizontalDpi="180" verticalDpi="18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128"/>
  <sheetViews>
    <sheetView zoomScalePageLayoutView="0" workbookViewId="0" topLeftCell="A41">
      <selection activeCell="D53" sqref="D53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31.57421875" style="0" customWidth="1"/>
    <col min="4" max="4" width="39.28125" style="0" customWidth="1"/>
    <col min="5" max="5" width="31.140625" style="0" customWidth="1"/>
    <col min="6" max="6" width="19.28125" style="0" customWidth="1"/>
    <col min="7" max="8" width="31.421875" style="0" customWidth="1"/>
    <col min="11" max="12" width="10.28125" style="0" customWidth="1"/>
    <col min="14" max="14" width="8.421875" style="0" customWidth="1"/>
  </cols>
  <sheetData>
    <row r="1" spans="1:8" s="241" customFormat="1" ht="32.25" customHeight="1">
      <c r="A1" s="547" t="s">
        <v>421</v>
      </c>
      <c r="B1" s="547"/>
      <c r="C1" s="547"/>
      <c r="D1" s="547"/>
      <c r="E1" s="547"/>
      <c r="F1" s="547"/>
      <c r="G1" s="547"/>
      <c r="H1" s="240"/>
    </row>
    <row r="2" spans="1:8" s="241" customFormat="1" ht="18.75">
      <c r="A2" s="548" t="s">
        <v>422</v>
      </c>
      <c r="B2" s="548"/>
      <c r="C2" s="548"/>
      <c r="D2" s="548"/>
      <c r="E2" s="548"/>
      <c r="F2" s="548"/>
      <c r="G2" s="548"/>
      <c r="H2" s="242"/>
    </row>
    <row r="3" spans="1:8" s="241" customFormat="1" ht="15.75">
      <c r="A3" s="243"/>
      <c r="B3" s="243"/>
      <c r="C3" s="243"/>
      <c r="D3" s="243"/>
      <c r="E3" s="243"/>
      <c r="F3" s="243"/>
      <c r="G3" s="243"/>
      <c r="H3" s="243"/>
    </row>
    <row r="4" spans="1:16" s="241" customFormat="1" ht="15.75">
      <c r="A4" s="549" t="s">
        <v>266</v>
      </c>
      <c r="B4" s="549" t="s">
        <v>423</v>
      </c>
      <c r="C4" s="549" t="s">
        <v>424</v>
      </c>
      <c r="D4" s="549"/>
      <c r="E4" s="550" t="s">
        <v>425</v>
      </c>
      <c r="F4" s="549" t="s">
        <v>426</v>
      </c>
      <c r="G4" s="549" t="s">
        <v>427</v>
      </c>
      <c r="H4" s="540" t="s">
        <v>428</v>
      </c>
      <c r="I4" s="543" t="s">
        <v>429</v>
      </c>
      <c r="J4" s="543"/>
      <c r="K4" s="543"/>
      <c r="L4" s="543"/>
      <c r="M4" s="543"/>
      <c r="N4" s="543"/>
      <c r="O4" s="543"/>
      <c r="P4" s="543"/>
    </row>
    <row r="5" spans="1:16" s="241" customFormat="1" ht="15.75">
      <c r="A5" s="549"/>
      <c r="B5" s="549"/>
      <c r="C5" s="549"/>
      <c r="D5" s="549"/>
      <c r="E5" s="550"/>
      <c r="F5" s="549"/>
      <c r="G5" s="549"/>
      <c r="H5" s="541"/>
      <c r="I5" s="544" t="s">
        <v>148</v>
      </c>
      <c r="J5" s="544"/>
      <c r="K5" s="544"/>
      <c r="L5" s="544"/>
      <c r="M5" s="544" t="s">
        <v>24</v>
      </c>
      <c r="N5" s="544"/>
      <c r="O5" s="544"/>
      <c r="P5" s="544"/>
    </row>
    <row r="6" spans="1:16" s="251" customFormat="1" ht="102.75" customHeight="1">
      <c r="A6" s="549"/>
      <c r="B6" s="549"/>
      <c r="C6" s="549"/>
      <c r="D6" s="549"/>
      <c r="E6" s="550"/>
      <c r="F6" s="549"/>
      <c r="G6" s="549"/>
      <c r="H6" s="542"/>
      <c r="I6" s="247" t="s">
        <v>430</v>
      </c>
      <c r="J6" s="248" t="s">
        <v>431</v>
      </c>
      <c r="K6" s="249" t="s">
        <v>432</v>
      </c>
      <c r="L6" s="250" t="s">
        <v>433</v>
      </c>
      <c r="M6" s="247" t="s">
        <v>430</v>
      </c>
      <c r="N6" s="248" t="s">
        <v>431</v>
      </c>
      <c r="O6" s="249" t="s">
        <v>434</v>
      </c>
      <c r="P6" s="250" t="s">
        <v>435</v>
      </c>
    </row>
    <row r="7" spans="1:16" s="251" customFormat="1" ht="19.5" customHeight="1">
      <c r="A7" s="244">
        <v>1</v>
      </c>
      <c r="B7" s="244">
        <v>2</v>
      </c>
      <c r="C7" s="244">
        <v>3</v>
      </c>
      <c r="D7" s="244">
        <v>4</v>
      </c>
      <c r="E7" s="245">
        <v>5</v>
      </c>
      <c r="F7" s="244">
        <v>6</v>
      </c>
      <c r="G7" s="244">
        <v>7</v>
      </c>
      <c r="H7" s="246">
        <v>8</v>
      </c>
      <c r="I7" s="247">
        <v>9</v>
      </c>
      <c r="J7" s="248">
        <v>10</v>
      </c>
      <c r="K7" s="249">
        <v>11</v>
      </c>
      <c r="L7" s="249">
        <v>12</v>
      </c>
      <c r="M7" s="247">
        <v>13</v>
      </c>
      <c r="N7" s="248">
        <v>14</v>
      </c>
      <c r="O7" s="249">
        <v>15</v>
      </c>
      <c r="P7" s="249">
        <v>16</v>
      </c>
    </row>
    <row r="8" spans="1:16" s="184" customFormat="1" ht="34.5" customHeight="1">
      <c r="A8" s="252">
        <v>1</v>
      </c>
      <c r="B8" s="253" t="s">
        <v>436</v>
      </c>
      <c r="C8" s="254" t="s">
        <v>156</v>
      </c>
      <c r="D8" s="255" t="s">
        <v>437</v>
      </c>
      <c r="E8" s="256" t="s">
        <v>438</v>
      </c>
      <c r="F8" s="257">
        <v>0.35</v>
      </c>
      <c r="G8" s="258">
        <v>18</v>
      </c>
      <c r="H8" s="259">
        <v>6</v>
      </c>
      <c r="I8" s="260"/>
      <c r="J8" s="261"/>
      <c r="K8" s="262"/>
      <c r="L8" s="263">
        <f>I8*K8</f>
        <v>0</v>
      </c>
      <c r="M8" s="264">
        <f>F8</f>
        <v>0.35</v>
      </c>
      <c r="N8" s="261">
        <f>G8</f>
        <v>18</v>
      </c>
      <c r="O8" s="262">
        <f>H8</f>
        <v>6</v>
      </c>
      <c r="P8" s="263">
        <f>M8*O8</f>
        <v>2.0999999999999996</v>
      </c>
    </row>
    <row r="9" spans="1:16" s="184" customFormat="1" ht="34.5" customHeight="1">
      <c r="A9" s="252">
        <v>2</v>
      </c>
      <c r="B9" s="253" t="s">
        <v>439</v>
      </c>
      <c r="C9" s="254" t="s">
        <v>156</v>
      </c>
      <c r="D9" s="255" t="s">
        <v>440</v>
      </c>
      <c r="E9" s="256" t="s">
        <v>438</v>
      </c>
      <c r="F9" s="257">
        <v>6.166666666666667</v>
      </c>
      <c r="G9" s="258">
        <v>142</v>
      </c>
      <c r="H9" s="259">
        <v>53</v>
      </c>
      <c r="I9" s="265">
        <f>F9</f>
        <v>6.166666666666667</v>
      </c>
      <c r="J9" s="266">
        <f>G9</f>
        <v>142</v>
      </c>
      <c r="K9" s="267">
        <f>H9</f>
        <v>53</v>
      </c>
      <c r="L9" s="263">
        <f>I9*K9</f>
        <v>326.83333333333337</v>
      </c>
      <c r="M9" s="260"/>
      <c r="N9" s="261"/>
      <c r="O9" s="262"/>
      <c r="P9" s="263">
        <f>M9*O9</f>
        <v>0</v>
      </c>
    </row>
    <row r="10" spans="1:16" s="184" customFormat="1" ht="34.5" customHeight="1">
      <c r="A10" s="252">
        <v>3</v>
      </c>
      <c r="B10" s="253" t="s">
        <v>441</v>
      </c>
      <c r="C10" s="268" t="s">
        <v>156</v>
      </c>
      <c r="D10" s="269" t="s">
        <v>442</v>
      </c>
      <c r="E10" s="256" t="s">
        <v>438</v>
      </c>
      <c r="F10" s="257">
        <v>15.083333333333334</v>
      </c>
      <c r="G10" s="258">
        <v>4</v>
      </c>
      <c r="H10" s="270">
        <v>3</v>
      </c>
      <c r="I10" s="265"/>
      <c r="J10" s="266"/>
      <c r="K10" s="267"/>
      <c r="L10" s="263">
        <f aca="true" t="shared" si="0" ref="L10:L43">I10*K10</f>
        <v>0</v>
      </c>
      <c r="M10" s="264">
        <f>F10</f>
        <v>15.083333333333334</v>
      </c>
      <c r="N10" s="261">
        <f>G10</f>
        <v>4</v>
      </c>
      <c r="O10" s="262">
        <f>H10</f>
        <v>3</v>
      </c>
      <c r="P10" s="263">
        <f aca="true" t="shared" si="1" ref="P10:P43">M10*O10</f>
        <v>45.25</v>
      </c>
    </row>
    <row r="11" spans="1:16" s="184" customFormat="1" ht="34.5" customHeight="1">
      <c r="A11" s="252">
        <v>4</v>
      </c>
      <c r="B11" s="271" t="s">
        <v>443</v>
      </c>
      <c r="C11" s="254" t="s">
        <v>156</v>
      </c>
      <c r="D11" s="255" t="s">
        <v>440</v>
      </c>
      <c r="E11" s="272" t="s">
        <v>438</v>
      </c>
      <c r="F11" s="257">
        <v>23.166666666666668</v>
      </c>
      <c r="G11" s="258">
        <v>142</v>
      </c>
      <c r="H11" s="259">
        <v>53</v>
      </c>
      <c r="I11" s="265">
        <f aca="true" t="shared" si="2" ref="I11:K30">F11</f>
        <v>23.166666666666668</v>
      </c>
      <c r="J11" s="266">
        <f t="shared" si="2"/>
        <v>142</v>
      </c>
      <c r="K11" s="267">
        <f>H11</f>
        <v>53</v>
      </c>
      <c r="L11" s="263">
        <f t="shared" si="0"/>
        <v>1227.8333333333335</v>
      </c>
      <c r="M11" s="260"/>
      <c r="N11" s="261"/>
      <c r="O11" s="262"/>
      <c r="P11" s="263">
        <f t="shared" si="1"/>
        <v>0</v>
      </c>
    </row>
    <row r="12" spans="1:16" s="184" customFormat="1" ht="34.5" customHeight="1">
      <c r="A12" s="273">
        <v>5</v>
      </c>
      <c r="B12" s="271" t="s">
        <v>444</v>
      </c>
      <c r="C12" s="254" t="s">
        <v>156</v>
      </c>
      <c r="D12" s="255" t="s">
        <v>440</v>
      </c>
      <c r="E12" s="272" t="s">
        <v>438</v>
      </c>
      <c r="F12" s="257">
        <v>0.6666666666666666</v>
      </c>
      <c r="G12" s="258">
        <v>142</v>
      </c>
      <c r="H12" s="259">
        <v>53</v>
      </c>
      <c r="I12" s="265">
        <f t="shared" si="2"/>
        <v>0.6666666666666666</v>
      </c>
      <c r="J12" s="266">
        <f t="shared" si="2"/>
        <v>142</v>
      </c>
      <c r="K12" s="267">
        <f t="shared" si="2"/>
        <v>53</v>
      </c>
      <c r="L12" s="263">
        <f t="shared" si="0"/>
        <v>35.33333333333333</v>
      </c>
      <c r="M12" s="260"/>
      <c r="N12" s="261"/>
      <c r="O12" s="262"/>
      <c r="P12" s="263">
        <f t="shared" si="1"/>
        <v>0</v>
      </c>
    </row>
    <row r="13" spans="1:16" s="184" customFormat="1" ht="34.5" customHeight="1">
      <c r="A13" s="273">
        <v>6</v>
      </c>
      <c r="B13" s="271" t="s">
        <v>445</v>
      </c>
      <c r="C13" s="254" t="s">
        <v>156</v>
      </c>
      <c r="D13" s="255" t="s">
        <v>440</v>
      </c>
      <c r="E13" s="272" t="s">
        <v>438</v>
      </c>
      <c r="F13" s="257">
        <v>4</v>
      </c>
      <c r="G13" s="258">
        <v>142</v>
      </c>
      <c r="H13" s="259">
        <v>53</v>
      </c>
      <c r="I13" s="265">
        <f t="shared" si="2"/>
        <v>4</v>
      </c>
      <c r="J13" s="266">
        <f t="shared" si="2"/>
        <v>142</v>
      </c>
      <c r="K13" s="267">
        <f t="shared" si="2"/>
        <v>53</v>
      </c>
      <c r="L13" s="263">
        <f t="shared" si="0"/>
        <v>212</v>
      </c>
      <c r="M13" s="260"/>
      <c r="N13" s="261"/>
      <c r="O13" s="262"/>
      <c r="P13" s="263">
        <f t="shared" si="1"/>
        <v>0</v>
      </c>
    </row>
    <row r="14" spans="1:16" s="184" customFormat="1" ht="34.5" customHeight="1">
      <c r="A14" s="273">
        <v>7</v>
      </c>
      <c r="B14" s="271" t="s">
        <v>446</v>
      </c>
      <c r="C14" s="254" t="s">
        <v>156</v>
      </c>
      <c r="D14" s="255" t="s">
        <v>440</v>
      </c>
      <c r="E14" s="272" t="s">
        <v>438</v>
      </c>
      <c r="F14" s="257">
        <v>0.75</v>
      </c>
      <c r="G14" s="258">
        <v>142</v>
      </c>
      <c r="H14" s="259">
        <v>53</v>
      </c>
      <c r="I14" s="265">
        <f t="shared" si="2"/>
        <v>0.75</v>
      </c>
      <c r="J14" s="266">
        <f t="shared" si="2"/>
        <v>142</v>
      </c>
      <c r="K14" s="267">
        <f t="shared" si="2"/>
        <v>53</v>
      </c>
      <c r="L14" s="263">
        <f t="shared" si="0"/>
        <v>39.75</v>
      </c>
      <c r="M14" s="260"/>
      <c r="N14" s="261"/>
      <c r="O14" s="262"/>
      <c r="P14" s="263">
        <f t="shared" si="1"/>
        <v>0</v>
      </c>
    </row>
    <row r="15" spans="1:16" s="184" customFormat="1" ht="34.5" customHeight="1">
      <c r="A15" s="273">
        <v>8</v>
      </c>
      <c r="B15" s="271" t="s">
        <v>447</v>
      </c>
      <c r="C15" s="254" t="s">
        <v>156</v>
      </c>
      <c r="D15" s="255" t="s">
        <v>448</v>
      </c>
      <c r="E15" s="272" t="s">
        <v>438</v>
      </c>
      <c r="F15" s="274">
        <v>0.25</v>
      </c>
      <c r="G15" s="258">
        <v>158</v>
      </c>
      <c r="H15" s="259">
        <v>107</v>
      </c>
      <c r="I15" s="265">
        <f t="shared" si="2"/>
        <v>0.25</v>
      </c>
      <c r="J15" s="266">
        <f t="shared" si="2"/>
        <v>158</v>
      </c>
      <c r="K15" s="267">
        <f t="shared" si="2"/>
        <v>107</v>
      </c>
      <c r="L15" s="263">
        <f t="shared" si="0"/>
        <v>26.75</v>
      </c>
      <c r="M15" s="260"/>
      <c r="N15" s="261"/>
      <c r="O15" s="262"/>
      <c r="P15" s="263">
        <f t="shared" si="1"/>
        <v>0</v>
      </c>
    </row>
    <row r="16" spans="1:16" s="184" customFormat="1" ht="34.5" customHeight="1">
      <c r="A16" s="273">
        <v>9</v>
      </c>
      <c r="B16" s="271" t="s">
        <v>449</v>
      </c>
      <c r="C16" s="254" t="s">
        <v>156</v>
      </c>
      <c r="D16" s="254" t="s">
        <v>450</v>
      </c>
      <c r="E16" s="275" t="s">
        <v>438</v>
      </c>
      <c r="F16" s="274">
        <v>0.6666666666666666</v>
      </c>
      <c r="G16" s="258">
        <v>17</v>
      </c>
      <c r="H16" s="259">
        <v>14</v>
      </c>
      <c r="I16" s="265">
        <f t="shared" si="2"/>
        <v>0.6666666666666666</v>
      </c>
      <c r="J16" s="266">
        <f t="shared" si="2"/>
        <v>17</v>
      </c>
      <c r="K16" s="267">
        <f t="shared" si="2"/>
        <v>14</v>
      </c>
      <c r="L16" s="263">
        <f t="shared" si="0"/>
        <v>9.333333333333332</v>
      </c>
      <c r="M16" s="260"/>
      <c r="N16" s="261"/>
      <c r="O16" s="262"/>
      <c r="P16" s="263">
        <f t="shared" si="1"/>
        <v>0</v>
      </c>
    </row>
    <row r="17" spans="1:16" s="184" customFormat="1" ht="34.5" customHeight="1">
      <c r="A17" s="273">
        <v>10</v>
      </c>
      <c r="B17" s="271" t="s">
        <v>451</v>
      </c>
      <c r="C17" s="254" t="s">
        <v>156</v>
      </c>
      <c r="D17" s="255" t="s">
        <v>452</v>
      </c>
      <c r="E17" s="272" t="s">
        <v>438</v>
      </c>
      <c r="F17" s="274">
        <v>1.3666666666666667</v>
      </c>
      <c r="G17" s="258">
        <v>142</v>
      </c>
      <c r="H17" s="259">
        <v>53</v>
      </c>
      <c r="I17" s="265">
        <f t="shared" si="2"/>
        <v>1.3666666666666667</v>
      </c>
      <c r="J17" s="266">
        <f t="shared" si="2"/>
        <v>142</v>
      </c>
      <c r="K17" s="267">
        <f t="shared" si="2"/>
        <v>53</v>
      </c>
      <c r="L17" s="263">
        <f t="shared" si="0"/>
        <v>72.43333333333334</v>
      </c>
      <c r="M17" s="260"/>
      <c r="N17" s="261"/>
      <c r="O17" s="262"/>
      <c r="P17" s="263">
        <f t="shared" si="1"/>
        <v>0</v>
      </c>
    </row>
    <row r="18" spans="1:16" s="184" customFormat="1" ht="34.5" customHeight="1">
      <c r="A18" s="273">
        <v>11</v>
      </c>
      <c r="B18" s="271" t="s">
        <v>453</v>
      </c>
      <c r="C18" s="254" t="s">
        <v>156</v>
      </c>
      <c r="D18" s="255" t="s">
        <v>454</v>
      </c>
      <c r="E18" s="272" t="s">
        <v>438</v>
      </c>
      <c r="F18" s="274">
        <v>0.5833333333333334</v>
      </c>
      <c r="G18" s="258">
        <v>2</v>
      </c>
      <c r="H18" s="259">
        <v>2</v>
      </c>
      <c r="I18" s="265">
        <f t="shared" si="2"/>
        <v>0.5833333333333334</v>
      </c>
      <c r="J18" s="266">
        <f t="shared" si="2"/>
        <v>2</v>
      </c>
      <c r="K18" s="267">
        <f t="shared" si="2"/>
        <v>2</v>
      </c>
      <c r="L18" s="263">
        <f t="shared" si="0"/>
        <v>1.1666666666666667</v>
      </c>
      <c r="M18" s="260"/>
      <c r="N18" s="261"/>
      <c r="O18" s="262"/>
      <c r="P18" s="263">
        <f t="shared" si="1"/>
        <v>0</v>
      </c>
    </row>
    <row r="19" spans="1:16" s="184" customFormat="1" ht="34.5" customHeight="1">
      <c r="A19" s="273">
        <v>12</v>
      </c>
      <c r="B19" s="271" t="s">
        <v>455</v>
      </c>
      <c r="C19" s="254" t="s">
        <v>156</v>
      </c>
      <c r="D19" s="255" t="s">
        <v>452</v>
      </c>
      <c r="E19" s="272" t="s">
        <v>438</v>
      </c>
      <c r="F19" s="257">
        <v>0.4</v>
      </c>
      <c r="G19" s="258">
        <v>142</v>
      </c>
      <c r="H19" s="259">
        <v>53</v>
      </c>
      <c r="I19" s="265">
        <f t="shared" si="2"/>
        <v>0.4</v>
      </c>
      <c r="J19" s="266">
        <f t="shared" si="2"/>
        <v>142</v>
      </c>
      <c r="K19" s="267">
        <f t="shared" si="2"/>
        <v>53</v>
      </c>
      <c r="L19" s="263">
        <f t="shared" si="0"/>
        <v>21.200000000000003</v>
      </c>
      <c r="M19" s="260"/>
      <c r="N19" s="261"/>
      <c r="O19" s="262"/>
      <c r="P19" s="263">
        <f t="shared" si="1"/>
        <v>0</v>
      </c>
    </row>
    <row r="20" spans="1:16" s="184" customFormat="1" ht="34.5" customHeight="1">
      <c r="A20" s="273">
        <v>13</v>
      </c>
      <c r="B20" s="271" t="s">
        <v>456</v>
      </c>
      <c r="C20" s="254" t="s">
        <v>156</v>
      </c>
      <c r="D20" s="255" t="s">
        <v>452</v>
      </c>
      <c r="E20" s="272" t="s">
        <v>438</v>
      </c>
      <c r="F20" s="257">
        <v>2</v>
      </c>
      <c r="G20" s="258">
        <v>142</v>
      </c>
      <c r="H20" s="259">
        <v>53</v>
      </c>
      <c r="I20" s="265">
        <f t="shared" si="2"/>
        <v>2</v>
      </c>
      <c r="J20" s="266">
        <f t="shared" si="2"/>
        <v>142</v>
      </c>
      <c r="K20" s="267">
        <f t="shared" si="2"/>
        <v>53</v>
      </c>
      <c r="L20" s="263">
        <f t="shared" si="0"/>
        <v>106</v>
      </c>
      <c r="M20" s="260"/>
      <c r="N20" s="261"/>
      <c r="O20" s="262"/>
      <c r="P20" s="263">
        <f t="shared" si="1"/>
        <v>0</v>
      </c>
    </row>
    <row r="21" spans="1:16" s="184" customFormat="1" ht="34.5" customHeight="1">
      <c r="A21" s="273">
        <v>14</v>
      </c>
      <c r="B21" s="271" t="s">
        <v>457</v>
      </c>
      <c r="C21" s="254" t="s">
        <v>156</v>
      </c>
      <c r="D21" s="255" t="s">
        <v>452</v>
      </c>
      <c r="E21" s="272" t="s">
        <v>438</v>
      </c>
      <c r="F21" s="257">
        <v>1.6666666666666665</v>
      </c>
      <c r="G21" s="258">
        <v>142</v>
      </c>
      <c r="H21" s="259">
        <v>53</v>
      </c>
      <c r="I21" s="265">
        <f t="shared" si="2"/>
        <v>1.6666666666666665</v>
      </c>
      <c r="J21" s="266">
        <f t="shared" si="2"/>
        <v>142</v>
      </c>
      <c r="K21" s="267">
        <f t="shared" si="2"/>
        <v>53</v>
      </c>
      <c r="L21" s="263">
        <f t="shared" si="0"/>
        <v>88.33333333333333</v>
      </c>
      <c r="M21" s="260"/>
      <c r="N21" s="261"/>
      <c r="O21" s="262"/>
      <c r="P21" s="263">
        <f t="shared" si="1"/>
        <v>0</v>
      </c>
    </row>
    <row r="22" spans="1:16" s="184" customFormat="1" ht="34.5" customHeight="1">
      <c r="A22" s="273">
        <v>15</v>
      </c>
      <c r="B22" s="271" t="s">
        <v>458</v>
      </c>
      <c r="C22" s="254" t="s">
        <v>156</v>
      </c>
      <c r="D22" s="255" t="s">
        <v>459</v>
      </c>
      <c r="E22" s="272" t="s">
        <v>438</v>
      </c>
      <c r="F22" s="257">
        <v>2.3833333333333333</v>
      </c>
      <c r="G22" s="258">
        <v>158</v>
      </c>
      <c r="H22" s="259">
        <v>107</v>
      </c>
      <c r="I22" s="265">
        <f t="shared" si="2"/>
        <v>2.3833333333333333</v>
      </c>
      <c r="J22" s="266">
        <f t="shared" si="2"/>
        <v>158</v>
      </c>
      <c r="K22" s="267">
        <f t="shared" si="2"/>
        <v>107</v>
      </c>
      <c r="L22" s="263">
        <f t="shared" si="0"/>
        <v>255.01666666666665</v>
      </c>
      <c r="M22" s="260"/>
      <c r="N22" s="261"/>
      <c r="O22" s="262"/>
      <c r="P22" s="263">
        <f t="shared" si="1"/>
        <v>0</v>
      </c>
    </row>
    <row r="23" spans="1:16" s="184" customFormat="1" ht="34.5" customHeight="1">
      <c r="A23" s="273">
        <v>16</v>
      </c>
      <c r="B23" s="271" t="s">
        <v>458</v>
      </c>
      <c r="C23" s="254" t="s">
        <v>156</v>
      </c>
      <c r="D23" s="255" t="s">
        <v>460</v>
      </c>
      <c r="E23" s="272" t="s">
        <v>438</v>
      </c>
      <c r="F23" s="257">
        <v>0.3333333333333333</v>
      </c>
      <c r="G23" s="258">
        <v>1</v>
      </c>
      <c r="H23" s="259">
        <v>1</v>
      </c>
      <c r="I23" s="265">
        <f t="shared" si="2"/>
        <v>0.3333333333333333</v>
      </c>
      <c r="J23" s="266">
        <f t="shared" si="2"/>
        <v>1</v>
      </c>
      <c r="K23" s="267">
        <f t="shared" si="2"/>
        <v>1</v>
      </c>
      <c r="L23" s="263">
        <f t="shared" si="0"/>
        <v>0.3333333333333333</v>
      </c>
      <c r="M23" s="260"/>
      <c r="N23" s="261"/>
      <c r="O23" s="262"/>
      <c r="P23" s="263">
        <f t="shared" si="1"/>
        <v>0</v>
      </c>
    </row>
    <row r="24" spans="1:16" s="184" customFormat="1" ht="34.5" customHeight="1">
      <c r="A24" s="273">
        <v>17</v>
      </c>
      <c r="B24" s="271" t="s">
        <v>461</v>
      </c>
      <c r="C24" s="254" t="s">
        <v>156</v>
      </c>
      <c r="D24" s="255" t="s">
        <v>462</v>
      </c>
      <c r="E24" s="272" t="s">
        <v>438</v>
      </c>
      <c r="F24" s="257">
        <v>0.5</v>
      </c>
      <c r="G24" s="258">
        <v>7</v>
      </c>
      <c r="H24" s="259">
        <v>2</v>
      </c>
      <c r="I24" s="265">
        <f t="shared" si="2"/>
        <v>0.5</v>
      </c>
      <c r="J24" s="266">
        <f t="shared" si="2"/>
        <v>7</v>
      </c>
      <c r="K24" s="267">
        <f t="shared" si="2"/>
        <v>2</v>
      </c>
      <c r="L24" s="263">
        <f t="shared" si="0"/>
        <v>1</v>
      </c>
      <c r="M24" s="260"/>
      <c r="N24" s="261"/>
      <c r="O24" s="262"/>
      <c r="P24" s="263">
        <f t="shared" si="1"/>
        <v>0</v>
      </c>
    </row>
    <row r="25" spans="1:16" s="184" customFormat="1" ht="34.5" customHeight="1">
      <c r="A25" s="273">
        <v>18</v>
      </c>
      <c r="B25" s="271" t="s">
        <v>463</v>
      </c>
      <c r="C25" s="254" t="s">
        <v>156</v>
      </c>
      <c r="D25" s="255" t="s">
        <v>464</v>
      </c>
      <c r="E25" s="272" t="s">
        <v>438</v>
      </c>
      <c r="F25" s="257">
        <v>1.3333333333333333</v>
      </c>
      <c r="G25" s="258">
        <v>105</v>
      </c>
      <c r="H25" s="259">
        <v>13</v>
      </c>
      <c r="I25" s="265">
        <f t="shared" si="2"/>
        <v>1.3333333333333333</v>
      </c>
      <c r="J25" s="266">
        <f t="shared" si="2"/>
        <v>105</v>
      </c>
      <c r="K25" s="267">
        <f t="shared" si="2"/>
        <v>13</v>
      </c>
      <c r="L25" s="263">
        <f t="shared" si="0"/>
        <v>17.333333333333332</v>
      </c>
      <c r="M25" s="260"/>
      <c r="N25" s="261"/>
      <c r="O25" s="262"/>
      <c r="P25" s="263">
        <f t="shared" si="1"/>
        <v>0</v>
      </c>
    </row>
    <row r="26" spans="1:16" s="184" customFormat="1" ht="34.5" customHeight="1">
      <c r="A26" s="273">
        <v>19</v>
      </c>
      <c r="B26" s="271" t="s">
        <v>463</v>
      </c>
      <c r="C26" s="254" t="s">
        <v>156</v>
      </c>
      <c r="D26" s="255" t="s">
        <v>452</v>
      </c>
      <c r="E26" s="272" t="s">
        <v>438</v>
      </c>
      <c r="F26" s="257">
        <v>0.75</v>
      </c>
      <c r="G26" s="258">
        <v>142</v>
      </c>
      <c r="H26" s="259">
        <v>53</v>
      </c>
      <c r="I26" s="265">
        <f t="shared" si="2"/>
        <v>0.75</v>
      </c>
      <c r="J26" s="266">
        <f t="shared" si="2"/>
        <v>142</v>
      </c>
      <c r="K26" s="267">
        <f t="shared" si="2"/>
        <v>53</v>
      </c>
      <c r="L26" s="263">
        <f t="shared" si="0"/>
        <v>39.75</v>
      </c>
      <c r="M26" s="260"/>
      <c r="N26" s="261"/>
      <c r="O26" s="262"/>
      <c r="P26" s="263">
        <f t="shared" si="1"/>
        <v>0</v>
      </c>
    </row>
    <row r="27" spans="1:16" s="184" customFormat="1" ht="34.5" customHeight="1">
      <c r="A27" s="273">
        <v>20</v>
      </c>
      <c r="B27" s="271" t="s">
        <v>465</v>
      </c>
      <c r="C27" s="254" t="s">
        <v>156</v>
      </c>
      <c r="D27" s="254" t="s">
        <v>466</v>
      </c>
      <c r="E27" s="272" t="s">
        <v>438</v>
      </c>
      <c r="F27" s="257">
        <v>0.85</v>
      </c>
      <c r="G27" s="258">
        <v>9</v>
      </c>
      <c r="H27" s="259">
        <v>3</v>
      </c>
      <c r="I27" s="265">
        <f t="shared" si="2"/>
        <v>0.85</v>
      </c>
      <c r="J27" s="266">
        <f t="shared" si="2"/>
        <v>9</v>
      </c>
      <c r="K27" s="267">
        <f t="shared" si="2"/>
        <v>3</v>
      </c>
      <c r="L27" s="263">
        <f t="shared" si="0"/>
        <v>2.55</v>
      </c>
      <c r="M27" s="260"/>
      <c r="N27" s="261"/>
      <c r="O27" s="262"/>
      <c r="P27" s="263">
        <f t="shared" si="1"/>
        <v>0</v>
      </c>
    </row>
    <row r="28" spans="1:16" s="184" customFormat="1" ht="34.5" customHeight="1">
      <c r="A28" s="273">
        <v>21</v>
      </c>
      <c r="B28" s="271" t="s">
        <v>467</v>
      </c>
      <c r="C28" s="254" t="s">
        <v>156</v>
      </c>
      <c r="D28" s="254" t="s">
        <v>468</v>
      </c>
      <c r="E28" s="272" t="s">
        <v>438</v>
      </c>
      <c r="F28" s="257">
        <v>1</v>
      </c>
      <c r="G28" s="258">
        <v>32</v>
      </c>
      <c r="H28" s="259">
        <v>25</v>
      </c>
      <c r="I28" s="265">
        <f t="shared" si="2"/>
        <v>1</v>
      </c>
      <c r="J28" s="266">
        <f t="shared" si="2"/>
        <v>32</v>
      </c>
      <c r="K28" s="267">
        <f t="shared" si="2"/>
        <v>25</v>
      </c>
      <c r="L28" s="263">
        <f t="shared" si="0"/>
        <v>25</v>
      </c>
      <c r="M28" s="260"/>
      <c r="N28" s="261"/>
      <c r="O28" s="262"/>
      <c r="P28" s="263">
        <f t="shared" si="1"/>
        <v>0</v>
      </c>
    </row>
    <row r="29" spans="1:16" s="184" customFormat="1" ht="34.5" customHeight="1">
      <c r="A29" s="273">
        <v>22</v>
      </c>
      <c r="B29" s="276" t="s">
        <v>469</v>
      </c>
      <c r="C29" s="254" t="s">
        <v>156</v>
      </c>
      <c r="D29" s="254" t="s">
        <v>470</v>
      </c>
      <c r="E29" s="272" t="s">
        <v>438</v>
      </c>
      <c r="F29" s="257">
        <v>0.4166666666666667</v>
      </c>
      <c r="G29" s="258">
        <v>6</v>
      </c>
      <c r="H29" s="259">
        <v>6</v>
      </c>
      <c r="I29" s="265">
        <f t="shared" si="2"/>
        <v>0.4166666666666667</v>
      </c>
      <c r="J29" s="266">
        <f t="shared" si="2"/>
        <v>6</v>
      </c>
      <c r="K29" s="267">
        <f t="shared" si="2"/>
        <v>6</v>
      </c>
      <c r="L29" s="263">
        <f t="shared" si="0"/>
        <v>2.5</v>
      </c>
      <c r="M29" s="260"/>
      <c r="N29" s="261"/>
      <c r="O29" s="262"/>
      <c r="P29" s="263">
        <f t="shared" si="1"/>
        <v>0</v>
      </c>
    </row>
    <row r="30" spans="1:16" s="184" customFormat="1" ht="34.5" customHeight="1">
      <c r="A30" s="273">
        <v>23</v>
      </c>
      <c r="B30" s="276" t="s">
        <v>471</v>
      </c>
      <c r="C30" s="254" t="s">
        <v>156</v>
      </c>
      <c r="D30" s="255" t="s">
        <v>472</v>
      </c>
      <c r="E30" s="272" t="s">
        <v>438</v>
      </c>
      <c r="F30" s="257">
        <v>1</v>
      </c>
      <c r="G30" s="258">
        <v>30</v>
      </c>
      <c r="H30" s="259">
        <v>30</v>
      </c>
      <c r="I30" s="265">
        <f t="shared" si="2"/>
        <v>1</v>
      </c>
      <c r="J30" s="266">
        <f t="shared" si="2"/>
        <v>30</v>
      </c>
      <c r="K30" s="267">
        <f t="shared" si="2"/>
        <v>30</v>
      </c>
      <c r="L30" s="263">
        <f t="shared" si="0"/>
        <v>30</v>
      </c>
      <c r="M30" s="260"/>
      <c r="N30" s="261"/>
      <c r="O30" s="262"/>
      <c r="P30" s="263">
        <f t="shared" si="1"/>
        <v>0</v>
      </c>
    </row>
    <row r="31" spans="1:16" s="184" customFormat="1" ht="34.5" customHeight="1">
      <c r="A31" s="273">
        <v>24</v>
      </c>
      <c r="B31" s="276" t="s">
        <v>473</v>
      </c>
      <c r="C31" s="268" t="s">
        <v>156</v>
      </c>
      <c r="D31" s="268" t="s">
        <v>474</v>
      </c>
      <c r="E31" s="272" t="s">
        <v>438</v>
      </c>
      <c r="F31" s="257">
        <v>7.833333333333333</v>
      </c>
      <c r="G31" s="258">
        <v>1</v>
      </c>
      <c r="H31" s="270">
        <v>1</v>
      </c>
      <c r="I31" s="260"/>
      <c r="J31" s="261"/>
      <c r="K31" s="262"/>
      <c r="L31" s="263">
        <f t="shared" si="0"/>
        <v>0</v>
      </c>
      <c r="M31" s="264">
        <f>F31</f>
        <v>7.833333333333333</v>
      </c>
      <c r="N31" s="261">
        <f>G31</f>
        <v>1</v>
      </c>
      <c r="O31" s="262">
        <f>H31</f>
        <v>1</v>
      </c>
      <c r="P31" s="263">
        <f t="shared" si="1"/>
        <v>7.833333333333333</v>
      </c>
    </row>
    <row r="32" spans="1:16" s="184" customFormat="1" ht="34.5" customHeight="1">
      <c r="A32" s="273">
        <v>25</v>
      </c>
      <c r="B32" s="276" t="s">
        <v>475</v>
      </c>
      <c r="C32" s="254" t="s">
        <v>156</v>
      </c>
      <c r="D32" s="254" t="s">
        <v>476</v>
      </c>
      <c r="E32" s="258" t="s">
        <v>438</v>
      </c>
      <c r="F32" s="257">
        <v>0.3333333333333333</v>
      </c>
      <c r="G32" s="258">
        <v>46</v>
      </c>
      <c r="H32" s="259">
        <v>46</v>
      </c>
      <c r="I32" s="265">
        <f aca="true" t="shared" si="3" ref="I32:K35">F32</f>
        <v>0.3333333333333333</v>
      </c>
      <c r="J32" s="266">
        <f t="shared" si="3"/>
        <v>46</v>
      </c>
      <c r="K32" s="267">
        <f t="shared" si="3"/>
        <v>46</v>
      </c>
      <c r="L32" s="263">
        <f t="shared" si="0"/>
        <v>15.333333333333332</v>
      </c>
      <c r="M32" s="260"/>
      <c r="N32" s="261"/>
      <c r="O32" s="262"/>
      <c r="P32" s="263">
        <f t="shared" si="1"/>
        <v>0</v>
      </c>
    </row>
    <row r="33" spans="1:16" s="184" customFormat="1" ht="34.5" customHeight="1">
      <c r="A33" s="277">
        <f>A32+1</f>
        <v>26</v>
      </c>
      <c r="B33" s="278" t="s">
        <v>477</v>
      </c>
      <c r="C33" s="279" t="s">
        <v>265</v>
      </c>
      <c r="D33" s="279" t="s">
        <v>478</v>
      </c>
      <c r="E33" s="280" t="s">
        <v>438</v>
      </c>
      <c r="F33" s="281">
        <v>0.72</v>
      </c>
      <c r="G33" s="282">
        <v>6</v>
      </c>
      <c r="H33" s="283">
        <v>6</v>
      </c>
      <c r="I33" s="265">
        <f t="shared" si="3"/>
        <v>0.72</v>
      </c>
      <c r="J33" s="266">
        <f t="shared" si="3"/>
        <v>6</v>
      </c>
      <c r="K33" s="267">
        <f t="shared" si="3"/>
        <v>6</v>
      </c>
      <c r="L33" s="263">
        <f t="shared" si="0"/>
        <v>4.32</v>
      </c>
      <c r="M33" s="260"/>
      <c r="N33" s="261"/>
      <c r="O33" s="262"/>
      <c r="P33" s="263">
        <f t="shared" si="1"/>
        <v>0</v>
      </c>
    </row>
    <row r="34" spans="1:16" s="184" customFormat="1" ht="34.5" customHeight="1">
      <c r="A34" s="252">
        <f aca="true" t="shared" si="4" ref="A34:A43">A33+1</f>
        <v>27</v>
      </c>
      <c r="B34" s="253" t="s">
        <v>479</v>
      </c>
      <c r="C34" s="254" t="s">
        <v>265</v>
      </c>
      <c r="D34" s="254" t="s">
        <v>480</v>
      </c>
      <c r="E34" s="256" t="s">
        <v>438</v>
      </c>
      <c r="F34" s="257">
        <v>0.6</v>
      </c>
      <c r="G34" s="258">
        <v>155</v>
      </c>
      <c r="H34" s="259">
        <v>155</v>
      </c>
      <c r="I34" s="265">
        <f t="shared" si="3"/>
        <v>0.6</v>
      </c>
      <c r="J34" s="266">
        <f t="shared" si="3"/>
        <v>155</v>
      </c>
      <c r="K34" s="267">
        <f t="shared" si="3"/>
        <v>155</v>
      </c>
      <c r="L34" s="263">
        <f t="shared" si="0"/>
        <v>93</v>
      </c>
      <c r="M34" s="260"/>
      <c r="N34" s="261"/>
      <c r="O34" s="262"/>
      <c r="P34" s="263">
        <f t="shared" si="1"/>
        <v>0</v>
      </c>
    </row>
    <row r="35" spans="1:16" s="184" customFormat="1" ht="34.5" customHeight="1">
      <c r="A35" s="252">
        <f t="shared" si="4"/>
        <v>28</v>
      </c>
      <c r="B35" s="253" t="s">
        <v>481</v>
      </c>
      <c r="C35" s="254" t="s">
        <v>265</v>
      </c>
      <c r="D35" s="254" t="s">
        <v>482</v>
      </c>
      <c r="E35" s="256" t="s">
        <v>438</v>
      </c>
      <c r="F35" s="257">
        <v>3</v>
      </c>
      <c r="G35" s="258">
        <v>30</v>
      </c>
      <c r="H35" s="259">
        <v>30</v>
      </c>
      <c r="I35" s="265">
        <f t="shared" si="3"/>
        <v>3</v>
      </c>
      <c r="J35" s="266">
        <f t="shared" si="3"/>
        <v>30</v>
      </c>
      <c r="K35" s="267">
        <f t="shared" si="3"/>
        <v>30</v>
      </c>
      <c r="L35" s="263">
        <f t="shared" si="0"/>
        <v>90</v>
      </c>
      <c r="M35" s="260"/>
      <c r="N35" s="261"/>
      <c r="O35" s="262"/>
      <c r="P35" s="263">
        <f t="shared" si="1"/>
        <v>0</v>
      </c>
    </row>
    <row r="36" spans="1:16" s="184" customFormat="1" ht="34.5" customHeight="1">
      <c r="A36" s="252">
        <f t="shared" si="4"/>
        <v>29</v>
      </c>
      <c r="B36" s="271" t="s">
        <v>483</v>
      </c>
      <c r="C36" s="254" t="s">
        <v>265</v>
      </c>
      <c r="D36" s="255" t="s">
        <v>484</v>
      </c>
      <c r="E36" s="272" t="s">
        <v>438</v>
      </c>
      <c r="F36" s="257">
        <v>2</v>
      </c>
      <c r="G36" s="258">
        <v>4</v>
      </c>
      <c r="H36" s="259">
        <v>4</v>
      </c>
      <c r="I36" s="260"/>
      <c r="J36" s="261"/>
      <c r="K36" s="262"/>
      <c r="L36" s="263">
        <f t="shared" si="0"/>
        <v>0</v>
      </c>
      <c r="M36" s="284">
        <f aca="true" t="shared" si="5" ref="M36:O37">F36</f>
        <v>2</v>
      </c>
      <c r="N36" s="261">
        <f t="shared" si="5"/>
        <v>4</v>
      </c>
      <c r="O36" s="262">
        <f t="shared" si="5"/>
        <v>4</v>
      </c>
      <c r="P36" s="263">
        <f t="shared" si="1"/>
        <v>8</v>
      </c>
    </row>
    <row r="37" spans="1:16" s="184" customFormat="1" ht="34.5" customHeight="1">
      <c r="A37" s="252">
        <f t="shared" si="4"/>
        <v>30</v>
      </c>
      <c r="B37" s="271" t="s">
        <v>485</v>
      </c>
      <c r="C37" s="254" t="s">
        <v>265</v>
      </c>
      <c r="D37" s="255" t="s">
        <v>486</v>
      </c>
      <c r="E37" s="272" t="s">
        <v>438</v>
      </c>
      <c r="F37" s="257">
        <v>21</v>
      </c>
      <c r="G37" s="258">
        <v>1</v>
      </c>
      <c r="H37" s="259">
        <v>1</v>
      </c>
      <c r="I37" s="260"/>
      <c r="J37" s="261"/>
      <c r="K37" s="262"/>
      <c r="L37" s="263">
        <f t="shared" si="0"/>
        <v>0</v>
      </c>
      <c r="M37" s="284">
        <f t="shared" si="5"/>
        <v>21</v>
      </c>
      <c r="N37" s="261">
        <f t="shared" si="5"/>
        <v>1</v>
      </c>
      <c r="O37" s="262">
        <f t="shared" si="5"/>
        <v>1</v>
      </c>
      <c r="P37" s="263">
        <f t="shared" si="1"/>
        <v>21</v>
      </c>
    </row>
    <row r="38" spans="1:16" s="184" customFormat="1" ht="34.5" customHeight="1">
      <c r="A38" s="252">
        <f t="shared" si="4"/>
        <v>31</v>
      </c>
      <c r="B38" s="271" t="s">
        <v>487</v>
      </c>
      <c r="C38" s="254" t="s">
        <v>265</v>
      </c>
      <c r="D38" s="255" t="s">
        <v>488</v>
      </c>
      <c r="E38" s="272" t="s">
        <v>438</v>
      </c>
      <c r="F38" s="285">
        <v>5</v>
      </c>
      <c r="G38" s="258">
        <v>4</v>
      </c>
      <c r="H38" s="259">
        <v>4</v>
      </c>
      <c r="I38" s="265">
        <f aca="true" t="shared" si="6" ref="I38:K42">F38</f>
        <v>5</v>
      </c>
      <c r="J38" s="266">
        <f t="shared" si="6"/>
        <v>4</v>
      </c>
      <c r="K38" s="267">
        <f t="shared" si="6"/>
        <v>4</v>
      </c>
      <c r="L38" s="263">
        <f t="shared" si="0"/>
        <v>20</v>
      </c>
      <c r="M38" s="260"/>
      <c r="N38" s="261"/>
      <c r="O38" s="262"/>
      <c r="P38" s="263">
        <f t="shared" si="1"/>
        <v>0</v>
      </c>
    </row>
    <row r="39" spans="1:16" s="184" customFormat="1" ht="34.5" customHeight="1">
      <c r="A39" s="252">
        <f t="shared" si="4"/>
        <v>32</v>
      </c>
      <c r="B39" s="271" t="s">
        <v>467</v>
      </c>
      <c r="C39" s="254" t="s">
        <v>265</v>
      </c>
      <c r="D39" s="255" t="s">
        <v>489</v>
      </c>
      <c r="E39" s="272" t="s">
        <v>438</v>
      </c>
      <c r="F39" s="285">
        <v>3</v>
      </c>
      <c r="G39" s="258">
        <v>8</v>
      </c>
      <c r="H39" s="259">
        <v>8</v>
      </c>
      <c r="I39" s="265">
        <f t="shared" si="6"/>
        <v>3</v>
      </c>
      <c r="J39" s="266">
        <f t="shared" si="6"/>
        <v>8</v>
      </c>
      <c r="K39" s="267">
        <f t="shared" si="6"/>
        <v>8</v>
      </c>
      <c r="L39" s="263">
        <f t="shared" si="0"/>
        <v>24</v>
      </c>
      <c r="M39" s="260"/>
      <c r="N39" s="261"/>
      <c r="O39" s="262"/>
      <c r="P39" s="263">
        <f t="shared" si="1"/>
        <v>0</v>
      </c>
    </row>
    <row r="40" spans="1:16" s="184" customFormat="1" ht="34.5" customHeight="1">
      <c r="A40" s="252">
        <f t="shared" si="4"/>
        <v>33</v>
      </c>
      <c r="B40" s="271" t="s">
        <v>467</v>
      </c>
      <c r="C40" s="254" t="s">
        <v>265</v>
      </c>
      <c r="D40" s="255" t="s">
        <v>490</v>
      </c>
      <c r="E40" s="272" t="s">
        <v>438</v>
      </c>
      <c r="F40" s="285">
        <v>1</v>
      </c>
      <c r="G40" s="258">
        <v>22</v>
      </c>
      <c r="H40" s="259">
        <v>22</v>
      </c>
      <c r="I40" s="265">
        <f t="shared" si="6"/>
        <v>1</v>
      </c>
      <c r="J40" s="266">
        <f t="shared" si="6"/>
        <v>22</v>
      </c>
      <c r="K40" s="267">
        <f t="shared" si="6"/>
        <v>22</v>
      </c>
      <c r="L40" s="263">
        <f t="shared" si="0"/>
        <v>22</v>
      </c>
      <c r="M40" s="260"/>
      <c r="N40" s="261"/>
      <c r="O40" s="262"/>
      <c r="P40" s="263">
        <f t="shared" si="1"/>
        <v>0</v>
      </c>
    </row>
    <row r="41" spans="1:16" s="184" customFormat="1" ht="34.5" customHeight="1">
      <c r="A41" s="252">
        <f t="shared" si="4"/>
        <v>34</v>
      </c>
      <c r="B41" s="271" t="s">
        <v>467</v>
      </c>
      <c r="C41" s="254" t="s">
        <v>265</v>
      </c>
      <c r="D41" s="255" t="s">
        <v>491</v>
      </c>
      <c r="E41" s="275" t="s">
        <v>438</v>
      </c>
      <c r="F41" s="285">
        <v>1.2</v>
      </c>
      <c r="G41" s="258">
        <v>39</v>
      </c>
      <c r="H41" s="259">
        <v>39</v>
      </c>
      <c r="I41" s="265">
        <f t="shared" si="6"/>
        <v>1.2</v>
      </c>
      <c r="J41" s="266">
        <f t="shared" si="6"/>
        <v>39</v>
      </c>
      <c r="K41" s="267">
        <f t="shared" si="6"/>
        <v>39</v>
      </c>
      <c r="L41" s="263">
        <f t="shared" si="0"/>
        <v>46.8</v>
      </c>
      <c r="M41" s="260"/>
      <c r="N41" s="261"/>
      <c r="O41" s="262"/>
      <c r="P41" s="263">
        <f t="shared" si="1"/>
        <v>0</v>
      </c>
    </row>
    <row r="42" spans="1:16" s="184" customFormat="1" ht="34.5" customHeight="1">
      <c r="A42" s="252">
        <f t="shared" si="4"/>
        <v>35</v>
      </c>
      <c r="B42" s="271" t="s">
        <v>467</v>
      </c>
      <c r="C42" s="254" t="s">
        <v>265</v>
      </c>
      <c r="D42" s="255" t="s">
        <v>492</v>
      </c>
      <c r="E42" s="272" t="s">
        <v>438</v>
      </c>
      <c r="F42" s="285">
        <v>1.4</v>
      </c>
      <c r="G42" s="258">
        <v>16</v>
      </c>
      <c r="H42" s="259">
        <v>16</v>
      </c>
      <c r="I42" s="265">
        <f t="shared" si="6"/>
        <v>1.4</v>
      </c>
      <c r="J42" s="266">
        <f t="shared" si="6"/>
        <v>16</v>
      </c>
      <c r="K42" s="267">
        <f t="shared" si="6"/>
        <v>16</v>
      </c>
      <c r="L42" s="263">
        <f t="shared" si="0"/>
        <v>22.4</v>
      </c>
      <c r="M42" s="260"/>
      <c r="N42" s="261"/>
      <c r="O42" s="262"/>
      <c r="P42" s="263">
        <f t="shared" si="1"/>
        <v>0</v>
      </c>
    </row>
    <row r="43" spans="1:16" s="184" customFormat="1" ht="34.5" customHeight="1">
      <c r="A43" s="252">
        <f t="shared" si="4"/>
        <v>36</v>
      </c>
      <c r="B43" s="276" t="s">
        <v>493</v>
      </c>
      <c r="C43" s="254" t="s">
        <v>265</v>
      </c>
      <c r="D43" s="255" t="s">
        <v>494</v>
      </c>
      <c r="E43" s="258" t="s">
        <v>438</v>
      </c>
      <c r="F43" s="286">
        <v>2</v>
      </c>
      <c r="G43" s="258">
        <v>4</v>
      </c>
      <c r="H43" s="259">
        <v>4</v>
      </c>
      <c r="I43" s="260"/>
      <c r="J43" s="261"/>
      <c r="K43" s="262"/>
      <c r="L43" s="263">
        <f t="shared" si="0"/>
        <v>0</v>
      </c>
      <c r="M43" s="284">
        <f>F43</f>
        <v>2</v>
      </c>
      <c r="N43" s="261">
        <f>G43</f>
        <v>4</v>
      </c>
      <c r="O43" s="262">
        <f>H43</f>
        <v>4</v>
      </c>
      <c r="P43" s="263">
        <f t="shared" si="1"/>
        <v>8</v>
      </c>
    </row>
    <row r="44" spans="1:16" s="184" customFormat="1" ht="34.5" customHeight="1">
      <c r="A44" s="287"/>
      <c r="B44" s="288"/>
      <c r="C44" s="289"/>
      <c r="D44" s="290" t="s">
        <v>258</v>
      </c>
      <c r="E44" s="291"/>
      <c r="F44" s="292">
        <f aca="true" t="shared" si="7" ref="F44:N44">SUM(F8:F43)</f>
        <v>114.77</v>
      </c>
      <c r="G44" s="292">
        <f t="shared" si="7"/>
        <v>2303</v>
      </c>
      <c r="H44" s="292">
        <f t="shared" si="7"/>
        <v>1185</v>
      </c>
      <c r="I44" s="292">
        <f t="shared" si="7"/>
        <v>66.50333333333334</v>
      </c>
      <c r="J44" s="293">
        <f t="shared" si="7"/>
        <v>2271</v>
      </c>
      <c r="K44" s="294">
        <f>SUM(K8:K43)</f>
        <v>1166</v>
      </c>
      <c r="L44" s="295">
        <f>SUM(L8:L43)</f>
        <v>2878.3033333333346</v>
      </c>
      <c r="M44" s="296">
        <f t="shared" si="7"/>
        <v>48.266666666666666</v>
      </c>
      <c r="N44" s="297">
        <f t="shared" si="7"/>
        <v>32</v>
      </c>
      <c r="O44" s="298">
        <f>SUM(O8:O43)</f>
        <v>19</v>
      </c>
      <c r="P44" s="295">
        <f>SUM(P8:P43)</f>
        <v>92.18333333333334</v>
      </c>
    </row>
    <row r="45" spans="1:16" s="184" customFormat="1" ht="34.5" customHeight="1">
      <c r="A45" s="273"/>
      <c r="B45" s="276"/>
      <c r="C45" s="254" t="s">
        <v>495</v>
      </c>
      <c r="D45" s="254"/>
      <c r="E45" s="258"/>
      <c r="F45" s="257"/>
      <c r="G45" s="259"/>
      <c r="H45" s="260"/>
      <c r="I45" s="260"/>
      <c r="J45" s="261"/>
      <c r="K45" s="262"/>
      <c r="L45" s="262"/>
      <c r="M45" s="260"/>
      <c r="N45" s="261"/>
      <c r="O45" s="262"/>
      <c r="P45" s="262"/>
    </row>
    <row r="46" spans="1:16" s="184" customFormat="1" ht="34.5" customHeight="1">
      <c r="A46" s="273"/>
      <c r="B46" s="276"/>
      <c r="C46" s="254" t="s">
        <v>156</v>
      </c>
      <c r="D46" s="254"/>
      <c r="E46" s="258"/>
      <c r="F46" s="257">
        <f aca="true" t="shared" si="8" ref="F46:N46">SUM(F8:F32)</f>
        <v>73.85</v>
      </c>
      <c r="G46" s="257">
        <f t="shared" si="8"/>
        <v>2014</v>
      </c>
      <c r="H46" s="257">
        <f t="shared" si="8"/>
        <v>896</v>
      </c>
      <c r="I46" s="257">
        <f t="shared" si="8"/>
        <v>50.583333333333336</v>
      </c>
      <c r="J46" s="299">
        <f t="shared" si="8"/>
        <v>1991</v>
      </c>
      <c r="K46" s="300">
        <f>SUM(K8:K32)</f>
        <v>886</v>
      </c>
      <c r="L46" s="300">
        <f>SUM(L8:L32)</f>
        <v>2555.783333333334</v>
      </c>
      <c r="M46" s="257">
        <f t="shared" si="8"/>
        <v>23.266666666666666</v>
      </c>
      <c r="N46" s="299">
        <f t="shared" si="8"/>
        <v>23</v>
      </c>
      <c r="O46" s="300">
        <f>SUM(O8:O32)</f>
        <v>10</v>
      </c>
      <c r="P46" s="300">
        <f>SUM(P8:P32)</f>
        <v>55.18333333333334</v>
      </c>
    </row>
    <row r="47" spans="1:16" s="184" customFormat="1" ht="34.5" customHeight="1">
      <c r="A47" s="273"/>
      <c r="B47" s="276"/>
      <c r="C47" s="254" t="s">
        <v>265</v>
      </c>
      <c r="D47" s="254"/>
      <c r="E47" s="258"/>
      <c r="F47" s="257">
        <f aca="true" t="shared" si="9" ref="F47:N47">SUM(F33:F43)</f>
        <v>40.92</v>
      </c>
      <c r="G47" s="257">
        <f t="shared" si="9"/>
        <v>289</v>
      </c>
      <c r="H47" s="257">
        <f t="shared" si="9"/>
        <v>289</v>
      </c>
      <c r="I47" s="257">
        <f t="shared" si="9"/>
        <v>15.92</v>
      </c>
      <c r="J47" s="299">
        <f t="shared" si="9"/>
        <v>280</v>
      </c>
      <c r="K47" s="300">
        <f>SUM(K33:K43)</f>
        <v>280</v>
      </c>
      <c r="L47" s="300">
        <f>SUM(L33:L43)</f>
        <v>322.52</v>
      </c>
      <c r="M47" s="257">
        <f t="shared" si="9"/>
        <v>25</v>
      </c>
      <c r="N47" s="299">
        <f t="shared" si="9"/>
        <v>9</v>
      </c>
      <c r="O47" s="300">
        <f>SUM(O33:O43)</f>
        <v>9</v>
      </c>
      <c r="P47" s="300">
        <f>SUM(P33:P43)</f>
        <v>37</v>
      </c>
    </row>
    <row r="48" spans="1:8" s="184" customFormat="1" ht="34.5" customHeight="1">
      <c r="A48" s="301"/>
      <c r="B48" s="302"/>
      <c r="C48" s="303"/>
      <c r="D48" s="303"/>
      <c r="E48" s="304"/>
      <c r="F48" s="305"/>
      <c r="G48" s="306"/>
      <c r="H48" s="306"/>
    </row>
    <row r="49" spans="1:8" s="184" customFormat="1" ht="34.5" customHeight="1">
      <c r="A49" s="546"/>
      <c r="B49" s="546"/>
      <c r="C49" s="546"/>
      <c r="D49" s="546"/>
      <c r="E49" s="546"/>
      <c r="F49" s="305"/>
      <c r="G49" s="307"/>
      <c r="H49" s="306"/>
    </row>
    <row r="50" spans="1:8" s="184" customFormat="1" ht="34.5" customHeight="1">
      <c r="A50" s="545"/>
      <c r="B50" s="545"/>
      <c r="C50" s="545"/>
      <c r="D50" s="545"/>
      <c r="E50" s="545"/>
      <c r="F50" s="305"/>
      <c r="G50" s="306"/>
      <c r="H50" s="306"/>
    </row>
    <row r="51" spans="1:8" s="184" customFormat="1" ht="34.5" customHeight="1">
      <c r="A51" s="301"/>
      <c r="B51" s="302"/>
      <c r="C51" s="303"/>
      <c r="D51" s="303"/>
      <c r="E51" s="304"/>
      <c r="F51" s="305"/>
      <c r="G51" s="306"/>
      <c r="H51" s="306"/>
    </row>
    <row r="52" spans="1:8" s="184" customFormat="1" ht="34.5" customHeight="1">
      <c r="A52" s="301"/>
      <c r="B52" s="302"/>
      <c r="C52" s="303"/>
      <c r="D52" s="303"/>
      <c r="E52" s="304"/>
      <c r="F52" s="305"/>
      <c r="G52" s="306"/>
      <c r="H52" s="306"/>
    </row>
    <row r="53" spans="1:8" s="184" customFormat="1" ht="34.5" customHeight="1">
      <c r="A53" s="301"/>
      <c r="B53" s="302"/>
      <c r="C53" s="303"/>
      <c r="D53" s="303"/>
      <c r="E53" s="304"/>
      <c r="F53" s="305"/>
      <c r="G53" s="306"/>
      <c r="H53" s="306"/>
    </row>
    <row r="54" spans="1:8" s="184" customFormat="1" ht="34.5" customHeight="1">
      <c r="A54" s="301"/>
      <c r="B54" s="302"/>
      <c r="C54" s="303"/>
      <c r="D54" s="303"/>
      <c r="E54" s="304"/>
      <c r="F54" s="305"/>
      <c r="G54" s="306"/>
      <c r="H54" s="306"/>
    </row>
    <row r="55" spans="1:8" s="184" customFormat="1" ht="34.5" customHeight="1">
      <c r="A55" s="301"/>
      <c r="B55" s="302"/>
      <c r="C55" s="303"/>
      <c r="D55" s="303"/>
      <c r="E55" s="304"/>
      <c r="F55" s="305"/>
      <c r="G55" s="306"/>
      <c r="H55" s="306"/>
    </row>
    <row r="56" spans="1:8" s="184" customFormat="1" ht="34.5" customHeight="1">
      <c r="A56" s="301"/>
      <c r="B56" s="302"/>
      <c r="C56" s="303"/>
      <c r="D56" s="303"/>
      <c r="E56" s="304"/>
      <c r="F56" s="305"/>
      <c r="G56" s="306"/>
      <c r="H56" s="306"/>
    </row>
    <row r="57" spans="1:8" s="184" customFormat="1" ht="34.5" customHeight="1">
      <c r="A57" s="301"/>
      <c r="B57" s="302"/>
      <c r="C57" s="303"/>
      <c r="D57" s="303"/>
      <c r="E57" s="304"/>
      <c r="F57" s="305"/>
      <c r="G57" s="306"/>
      <c r="H57" s="306"/>
    </row>
    <row r="58" spans="1:8" s="184" customFormat="1" ht="34.5" customHeight="1">
      <c r="A58" s="301"/>
      <c r="B58" s="302"/>
      <c r="C58" s="303"/>
      <c r="D58" s="303"/>
      <c r="E58" s="304"/>
      <c r="F58" s="305"/>
      <c r="G58" s="306"/>
      <c r="H58" s="306"/>
    </row>
    <row r="59" spans="1:8" s="184" customFormat="1" ht="34.5" customHeight="1">
      <c r="A59" s="301"/>
      <c r="B59" s="302"/>
      <c r="C59" s="303"/>
      <c r="D59" s="303"/>
      <c r="E59" s="304"/>
      <c r="F59" s="305"/>
      <c r="G59" s="306"/>
      <c r="H59" s="306"/>
    </row>
    <row r="60" spans="1:8" s="184" customFormat="1" ht="34.5" customHeight="1">
      <c r="A60" s="301"/>
      <c r="B60" s="302"/>
      <c r="C60" s="303"/>
      <c r="D60" s="303"/>
      <c r="E60" s="304"/>
      <c r="F60" s="305"/>
      <c r="G60" s="306"/>
      <c r="H60" s="306"/>
    </row>
    <row r="61" spans="1:8" s="184" customFormat="1" ht="34.5" customHeight="1">
      <c r="A61" s="301"/>
      <c r="B61" s="302"/>
      <c r="C61" s="303"/>
      <c r="D61" s="303"/>
      <c r="E61" s="304"/>
      <c r="F61" s="305"/>
      <c r="G61" s="306"/>
      <c r="H61" s="306"/>
    </row>
    <row r="62" spans="1:8" s="184" customFormat="1" ht="34.5" customHeight="1">
      <c r="A62" s="301"/>
      <c r="B62" s="302"/>
      <c r="C62" s="303"/>
      <c r="D62" s="303"/>
      <c r="E62" s="304"/>
      <c r="F62" s="305"/>
      <c r="G62" s="306"/>
      <c r="H62" s="306"/>
    </row>
    <row r="63" spans="1:8" s="184" customFormat="1" ht="34.5" customHeight="1">
      <c r="A63" s="301"/>
      <c r="B63" s="302"/>
      <c r="C63" s="303"/>
      <c r="D63" s="303"/>
      <c r="E63" s="304"/>
      <c r="F63" s="305"/>
      <c r="G63" s="306"/>
      <c r="H63" s="306"/>
    </row>
    <row r="64" spans="1:8" s="184" customFormat="1" ht="34.5" customHeight="1">
      <c r="A64" s="301"/>
      <c r="B64" s="302"/>
      <c r="C64" s="303"/>
      <c r="D64" s="303"/>
      <c r="E64" s="304"/>
      <c r="F64" s="305"/>
      <c r="G64" s="306"/>
      <c r="H64" s="306"/>
    </row>
    <row r="65" spans="1:8" s="184" customFormat="1" ht="34.5" customHeight="1">
      <c r="A65" s="301"/>
      <c r="B65" s="302"/>
      <c r="C65" s="303"/>
      <c r="D65" s="303"/>
      <c r="E65" s="304"/>
      <c r="F65" s="305"/>
      <c r="G65" s="306"/>
      <c r="H65" s="306"/>
    </row>
    <row r="66" spans="1:8" s="184" customFormat="1" ht="34.5" customHeight="1">
      <c r="A66" s="301"/>
      <c r="B66" s="302"/>
      <c r="C66" s="303"/>
      <c r="D66" s="303"/>
      <c r="E66" s="304"/>
      <c r="F66" s="305"/>
      <c r="G66" s="306"/>
      <c r="H66" s="306"/>
    </row>
    <row r="67" spans="1:8" s="184" customFormat="1" ht="34.5" customHeight="1">
      <c r="A67" s="301"/>
      <c r="B67" s="302"/>
      <c r="C67" s="303"/>
      <c r="D67" s="303"/>
      <c r="E67" s="304"/>
      <c r="F67" s="305"/>
      <c r="G67" s="306"/>
      <c r="H67" s="306"/>
    </row>
    <row r="68" spans="1:8" s="184" customFormat="1" ht="34.5" customHeight="1">
      <c r="A68" s="301"/>
      <c r="B68" s="302"/>
      <c r="C68" s="303"/>
      <c r="D68" s="303"/>
      <c r="E68" s="304"/>
      <c r="F68" s="305"/>
      <c r="G68" s="306"/>
      <c r="H68" s="306"/>
    </row>
    <row r="69" spans="1:8" s="184" customFormat="1" ht="34.5" customHeight="1">
      <c r="A69" s="301"/>
      <c r="B69" s="302"/>
      <c r="C69" s="303"/>
      <c r="D69" s="303"/>
      <c r="E69" s="304"/>
      <c r="F69" s="305"/>
      <c r="G69" s="306"/>
      <c r="H69" s="306"/>
    </row>
    <row r="70" spans="1:8" s="184" customFormat="1" ht="34.5" customHeight="1">
      <c r="A70" s="301"/>
      <c r="B70" s="302"/>
      <c r="C70" s="303"/>
      <c r="D70" s="303"/>
      <c r="E70" s="304"/>
      <c r="F70" s="305"/>
      <c r="G70" s="306"/>
      <c r="H70" s="306"/>
    </row>
    <row r="71" spans="1:8" s="184" customFormat="1" ht="34.5" customHeight="1">
      <c r="A71" s="301"/>
      <c r="B71" s="302"/>
      <c r="C71" s="303"/>
      <c r="D71" s="303"/>
      <c r="E71" s="304"/>
      <c r="F71" s="305"/>
      <c r="G71" s="306"/>
      <c r="H71" s="306"/>
    </row>
    <row r="72" spans="1:8" s="184" customFormat="1" ht="34.5" customHeight="1">
      <c r="A72" s="301"/>
      <c r="B72" s="302"/>
      <c r="C72" s="303"/>
      <c r="D72" s="303"/>
      <c r="E72" s="304"/>
      <c r="F72" s="305"/>
      <c r="G72" s="306"/>
      <c r="H72" s="306"/>
    </row>
    <row r="73" spans="1:8" s="184" customFormat="1" ht="34.5" customHeight="1">
      <c r="A73" s="301"/>
      <c r="B73" s="302"/>
      <c r="C73" s="303"/>
      <c r="D73" s="303"/>
      <c r="E73" s="304"/>
      <c r="F73" s="305"/>
      <c r="G73" s="306"/>
      <c r="H73" s="306"/>
    </row>
    <row r="74" spans="1:8" s="184" customFormat="1" ht="34.5" customHeight="1">
      <c r="A74" s="301"/>
      <c r="B74" s="302"/>
      <c r="C74" s="303"/>
      <c r="D74" s="303"/>
      <c r="E74" s="304"/>
      <c r="F74" s="305"/>
      <c r="G74" s="306"/>
      <c r="H74" s="306"/>
    </row>
    <row r="75" spans="1:8" s="184" customFormat="1" ht="34.5" customHeight="1">
      <c r="A75" s="301"/>
      <c r="B75" s="302"/>
      <c r="C75" s="303"/>
      <c r="D75" s="303"/>
      <c r="E75" s="304"/>
      <c r="F75" s="305"/>
      <c r="G75" s="306"/>
      <c r="H75" s="306"/>
    </row>
    <row r="76" spans="1:8" s="184" customFormat="1" ht="34.5" customHeight="1">
      <c r="A76" s="301"/>
      <c r="B76" s="302"/>
      <c r="C76" s="303"/>
      <c r="D76" s="303"/>
      <c r="E76" s="304"/>
      <c r="F76" s="305"/>
      <c r="G76" s="306"/>
      <c r="H76" s="306"/>
    </row>
    <row r="77" spans="1:8" s="184" customFormat="1" ht="34.5" customHeight="1">
      <c r="A77" s="301"/>
      <c r="B77" s="302"/>
      <c r="C77" s="303"/>
      <c r="D77" s="303"/>
      <c r="E77" s="304"/>
      <c r="F77" s="305"/>
      <c r="G77" s="306"/>
      <c r="H77" s="306"/>
    </row>
    <row r="78" spans="1:8" s="184" customFormat="1" ht="34.5" customHeight="1">
      <c r="A78" s="301"/>
      <c r="B78" s="302"/>
      <c r="C78" s="303"/>
      <c r="D78" s="303"/>
      <c r="E78" s="304"/>
      <c r="F78" s="305"/>
      <c r="G78" s="306"/>
      <c r="H78" s="306"/>
    </row>
    <row r="79" spans="1:8" s="184" customFormat="1" ht="34.5" customHeight="1">
      <c r="A79" s="301"/>
      <c r="B79" s="302"/>
      <c r="C79" s="303"/>
      <c r="D79" s="303"/>
      <c r="E79" s="304"/>
      <c r="F79" s="305"/>
      <c r="G79" s="306"/>
      <c r="H79" s="306"/>
    </row>
    <row r="80" spans="1:8" s="184" customFormat="1" ht="34.5" customHeight="1">
      <c r="A80" s="301"/>
      <c r="B80" s="302"/>
      <c r="C80" s="303"/>
      <c r="D80" s="303"/>
      <c r="E80" s="304"/>
      <c r="F80" s="305"/>
      <c r="G80" s="306"/>
      <c r="H80" s="306"/>
    </row>
    <row r="81" spans="1:8" s="184" customFormat="1" ht="34.5" customHeight="1">
      <c r="A81" s="301"/>
      <c r="B81" s="302"/>
      <c r="C81" s="303"/>
      <c r="D81" s="303"/>
      <c r="E81" s="304"/>
      <c r="F81" s="305"/>
      <c r="G81" s="306"/>
      <c r="H81" s="306"/>
    </row>
    <row r="82" spans="1:8" s="184" customFormat="1" ht="34.5" customHeight="1">
      <c r="A82" s="301"/>
      <c r="B82" s="302"/>
      <c r="C82" s="303"/>
      <c r="D82" s="303"/>
      <c r="E82" s="304"/>
      <c r="F82" s="305"/>
      <c r="G82" s="306"/>
      <c r="H82" s="306"/>
    </row>
    <row r="83" spans="1:8" s="184" customFormat="1" ht="34.5" customHeight="1">
      <c r="A83" s="301"/>
      <c r="B83" s="302"/>
      <c r="C83" s="303"/>
      <c r="D83" s="303"/>
      <c r="E83" s="304"/>
      <c r="F83" s="305"/>
      <c r="G83" s="306"/>
      <c r="H83" s="306"/>
    </row>
    <row r="84" spans="1:8" s="184" customFormat="1" ht="34.5" customHeight="1">
      <c r="A84" s="301"/>
      <c r="B84" s="302"/>
      <c r="C84" s="303"/>
      <c r="D84" s="303"/>
      <c r="E84" s="304"/>
      <c r="F84" s="305"/>
      <c r="G84" s="306"/>
      <c r="H84" s="306"/>
    </row>
    <row r="85" spans="1:8" s="184" customFormat="1" ht="34.5" customHeight="1">
      <c r="A85" s="301"/>
      <c r="B85" s="302"/>
      <c r="C85" s="303"/>
      <c r="D85" s="303"/>
      <c r="E85" s="304"/>
      <c r="F85" s="305"/>
      <c r="G85" s="306"/>
      <c r="H85" s="306"/>
    </row>
    <row r="86" spans="1:8" s="184" customFormat="1" ht="34.5" customHeight="1">
      <c r="A86" s="301"/>
      <c r="B86" s="302"/>
      <c r="C86" s="303"/>
      <c r="D86" s="303"/>
      <c r="E86" s="304"/>
      <c r="F86" s="305"/>
      <c r="G86" s="306"/>
      <c r="H86" s="306"/>
    </row>
    <row r="87" spans="1:8" s="184" customFormat="1" ht="34.5" customHeight="1">
      <c r="A87" s="301"/>
      <c r="B87" s="302"/>
      <c r="C87" s="303"/>
      <c r="D87" s="303"/>
      <c r="E87" s="304"/>
      <c r="F87" s="305"/>
      <c r="G87" s="306"/>
      <c r="H87" s="306"/>
    </row>
    <row r="88" spans="1:8" s="184" customFormat="1" ht="34.5" customHeight="1">
      <c r="A88" s="301"/>
      <c r="B88" s="302"/>
      <c r="C88" s="303"/>
      <c r="D88" s="303"/>
      <c r="E88" s="304"/>
      <c r="F88" s="305"/>
      <c r="G88" s="306"/>
      <c r="H88" s="306"/>
    </row>
    <row r="89" spans="1:8" s="184" customFormat="1" ht="34.5" customHeight="1">
      <c r="A89" s="301"/>
      <c r="B89" s="302"/>
      <c r="C89" s="303"/>
      <c r="D89" s="303"/>
      <c r="E89" s="304"/>
      <c r="F89" s="305"/>
      <c r="G89" s="306"/>
      <c r="H89" s="306"/>
    </row>
    <row r="90" spans="1:8" s="184" customFormat="1" ht="34.5" customHeight="1">
      <c r="A90" s="301"/>
      <c r="B90" s="302"/>
      <c r="C90" s="303"/>
      <c r="D90" s="303"/>
      <c r="E90" s="304"/>
      <c r="F90" s="305"/>
      <c r="G90" s="306"/>
      <c r="H90" s="306"/>
    </row>
    <row r="91" spans="1:8" s="184" customFormat="1" ht="34.5" customHeight="1">
      <c r="A91" s="301"/>
      <c r="B91" s="302"/>
      <c r="C91" s="303"/>
      <c r="D91" s="303"/>
      <c r="E91" s="304"/>
      <c r="F91" s="305"/>
      <c r="G91" s="306"/>
      <c r="H91" s="306"/>
    </row>
    <row r="92" spans="1:8" s="184" customFormat="1" ht="34.5" customHeight="1">
      <c r="A92" s="301"/>
      <c r="B92" s="302"/>
      <c r="C92" s="303"/>
      <c r="D92" s="303"/>
      <c r="E92" s="304"/>
      <c r="F92" s="305"/>
      <c r="G92" s="306"/>
      <c r="H92" s="306"/>
    </row>
    <row r="93" spans="1:8" s="184" customFormat="1" ht="34.5" customHeight="1">
      <c r="A93" s="301"/>
      <c r="B93" s="302"/>
      <c r="C93" s="303"/>
      <c r="D93" s="303"/>
      <c r="E93" s="304"/>
      <c r="F93" s="305"/>
      <c r="G93" s="306"/>
      <c r="H93" s="306"/>
    </row>
    <row r="94" spans="1:8" s="184" customFormat="1" ht="34.5" customHeight="1">
      <c r="A94" s="301"/>
      <c r="B94" s="302"/>
      <c r="C94" s="303"/>
      <c r="D94" s="303"/>
      <c r="E94" s="304"/>
      <c r="F94" s="305"/>
      <c r="G94" s="306"/>
      <c r="H94" s="306"/>
    </row>
    <row r="95" spans="1:8" s="184" customFormat="1" ht="34.5" customHeight="1">
      <c r="A95" s="301"/>
      <c r="B95" s="302"/>
      <c r="C95" s="303"/>
      <c r="D95" s="303"/>
      <c r="E95" s="304"/>
      <c r="F95" s="305"/>
      <c r="G95" s="306"/>
      <c r="H95" s="306"/>
    </row>
    <row r="96" spans="1:8" s="184" customFormat="1" ht="34.5" customHeight="1">
      <c r="A96" s="301"/>
      <c r="B96" s="302"/>
      <c r="C96" s="303"/>
      <c r="D96" s="303"/>
      <c r="E96" s="304"/>
      <c r="F96" s="305"/>
      <c r="G96" s="306"/>
      <c r="H96" s="306"/>
    </row>
    <row r="97" spans="1:8" s="184" customFormat="1" ht="34.5" customHeight="1">
      <c r="A97" s="301"/>
      <c r="B97" s="302"/>
      <c r="C97" s="303"/>
      <c r="D97" s="303"/>
      <c r="E97" s="304"/>
      <c r="F97" s="305"/>
      <c r="G97" s="306"/>
      <c r="H97" s="306"/>
    </row>
    <row r="98" spans="1:8" s="184" customFormat="1" ht="34.5" customHeight="1">
      <c r="A98" s="301"/>
      <c r="B98" s="302"/>
      <c r="C98" s="303"/>
      <c r="D98" s="303"/>
      <c r="E98" s="304"/>
      <c r="F98" s="305"/>
      <c r="G98" s="306"/>
      <c r="H98" s="306"/>
    </row>
    <row r="99" spans="1:8" s="184" customFormat="1" ht="34.5" customHeight="1">
      <c r="A99" s="301"/>
      <c r="B99" s="302"/>
      <c r="C99" s="303"/>
      <c r="D99" s="303"/>
      <c r="E99" s="304"/>
      <c r="F99" s="305"/>
      <c r="G99" s="306"/>
      <c r="H99" s="306"/>
    </row>
    <row r="100" spans="1:8" s="184" customFormat="1" ht="34.5" customHeight="1">
      <c r="A100" s="301"/>
      <c r="B100" s="302"/>
      <c r="C100" s="303"/>
      <c r="D100" s="303"/>
      <c r="E100" s="304"/>
      <c r="F100" s="305"/>
      <c r="G100" s="306"/>
      <c r="H100" s="306"/>
    </row>
    <row r="101" spans="1:8" s="184" customFormat="1" ht="34.5" customHeight="1">
      <c r="A101" s="301"/>
      <c r="B101" s="302"/>
      <c r="C101" s="303"/>
      <c r="D101" s="303"/>
      <c r="E101" s="304"/>
      <c r="F101" s="305"/>
      <c r="G101" s="306"/>
      <c r="H101" s="306"/>
    </row>
    <row r="102" spans="1:8" s="184" customFormat="1" ht="34.5" customHeight="1">
      <c r="A102" s="301"/>
      <c r="B102" s="302"/>
      <c r="C102" s="303"/>
      <c r="D102" s="303"/>
      <c r="E102" s="304"/>
      <c r="F102" s="305"/>
      <c r="G102" s="306"/>
      <c r="H102" s="306"/>
    </row>
    <row r="103" spans="1:8" s="184" customFormat="1" ht="34.5" customHeight="1">
      <c r="A103" s="301"/>
      <c r="B103" s="302"/>
      <c r="C103" s="303"/>
      <c r="D103" s="303"/>
      <c r="E103" s="304"/>
      <c r="F103" s="305"/>
      <c r="G103" s="306"/>
      <c r="H103" s="306"/>
    </row>
    <row r="104" spans="1:8" s="184" customFormat="1" ht="34.5" customHeight="1">
      <c r="A104" s="301"/>
      <c r="B104" s="302"/>
      <c r="C104" s="303"/>
      <c r="D104" s="303"/>
      <c r="E104" s="304"/>
      <c r="F104" s="305"/>
      <c r="G104" s="306"/>
      <c r="H104" s="306"/>
    </row>
    <row r="105" spans="1:8" s="184" customFormat="1" ht="34.5" customHeight="1">
      <c r="A105" s="301"/>
      <c r="B105" s="302"/>
      <c r="C105" s="303"/>
      <c r="D105" s="303"/>
      <c r="E105" s="304"/>
      <c r="F105" s="305"/>
      <c r="G105" s="306"/>
      <c r="H105" s="306"/>
    </row>
    <row r="106" spans="1:8" s="184" customFormat="1" ht="34.5" customHeight="1">
      <c r="A106" s="301"/>
      <c r="B106" s="302"/>
      <c r="C106" s="303"/>
      <c r="D106" s="303"/>
      <c r="E106" s="304"/>
      <c r="F106" s="305"/>
      <c r="G106" s="306"/>
      <c r="H106" s="306"/>
    </row>
    <row r="107" spans="1:8" s="184" customFormat="1" ht="34.5" customHeight="1">
      <c r="A107" s="301"/>
      <c r="B107" s="302"/>
      <c r="C107" s="303"/>
      <c r="D107" s="303"/>
      <c r="E107" s="304"/>
      <c r="F107" s="305"/>
      <c r="G107" s="306"/>
      <c r="H107" s="306"/>
    </row>
    <row r="108" spans="1:8" s="184" customFormat="1" ht="34.5" customHeight="1">
      <c r="A108" s="301"/>
      <c r="B108" s="302"/>
      <c r="C108" s="303"/>
      <c r="D108" s="303"/>
      <c r="E108" s="304"/>
      <c r="F108" s="305"/>
      <c r="G108" s="306"/>
      <c r="H108" s="306"/>
    </row>
    <row r="109" spans="1:8" s="184" customFormat="1" ht="34.5" customHeight="1">
      <c r="A109" s="301"/>
      <c r="B109" s="302"/>
      <c r="C109" s="303"/>
      <c r="D109" s="303"/>
      <c r="E109" s="304"/>
      <c r="F109" s="305"/>
      <c r="G109" s="306"/>
      <c r="H109" s="306"/>
    </row>
    <row r="110" spans="1:8" s="184" customFormat="1" ht="34.5" customHeight="1">
      <c r="A110" s="301"/>
      <c r="B110" s="302"/>
      <c r="C110" s="303"/>
      <c r="D110" s="303"/>
      <c r="E110" s="304"/>
      <c r="F110" s="305"/>
      <c r="G110" s="306"/>
      <c r="H110" s="306"/>
    </row>
    <row r="111" spans="1:8" s="184" customFormat="1" ht="34.5" customHeight="1">
      <c r="A111" s="301"/>
      <c r="B111" s="302"/>
      <c r="C111" s="303"/>
      <c r="D111" s="303"/>
      <c r="E111" s="304"/>
      <c r="F111" s="305"/>
      <c r="G111" s="306"/>
      <c r="H111" s="306"/>
    </row>
    <row r="112" spans="1:8" s="184" customFormat="1" ht="34.5" customHeight="1">
      <c r="A112" s="301"/>
      <c r="B112" s="302"/>
      <c r="C112" s="303"/>
      <c r="D112" s="303"/>
      <c r="E112" s="304"/>
      <c r="F112" s="305"/>
      <c r="G112" s="306"/>
      <c r="H112" s="306"/>
    </row>
    <row r="113" spans="1:8" s="184" customFormat="1" ht="34.5" customHeight="1">
      <c r="A113" s="301"/>
      <c r="B113" s="302"/>
      <c r="C113" s="303"/>
      <c r="D113" s="303"/>
      <c r="E113" s="304"/>
      <c r="F113" s="305"/>
      <c r="G113" s="306"/>
      <c r="H113" s="306"/>
    </row>
    <row r="114" spans="1:8" s="184" customFormat="1" ht="34.5" customHeight="1">
      <c r="A114" s="301"/>
      <c r="B114" s="302"/>
      <c r="C114" s="303"/>
      <c r="D114" s="303"/>
      <c r="E114" s="304"/>
      <c r="F114" s="305"/>
      <c r="G114" s="306"/>
      <c r="H114" s="306"/>
    </row>
    <row r="115" spans="1:8" s="184" customFormat="1" ht="34.5" customHeight="1">
      <c r="A115" s="301"/>
      <c r="B115" s="302"/>
      <c r="C115" s="303"/>
      <c r="D115" s="303"/>
      <c r="E115" s="304"/>
      <c r="F115" s="305"/>
      <c r="G115" s="306"/>
      <c r="H115" s="306"/>
    </row>
    <row r="116" spans="1:8" s="184" customFormat="1" ht="34.5" customHeight="1">
      <c r="A116" s="301"/>
      <c r="B116" s="302"/>
      <c r="C116" s="303"/>
      <c r="D116" s="303"/>
      <c r="E116" s="304"/>
      <c r="F116" s="305"/>
      <c r="G116" s="306"/>
      <c r="H116" s="306"/>
    </row>
    <row r="117" spans="1:8" s="184" customFormat="1" ht="34.5" customHeight="1">
      <c r="A117" s="301"/>
      <c r="B117" s="302"/>
      <c r="C117" s="303"/>
      <c r="D117" s="303"/>
      <c r="E117" s="304"/>
      <c r="F117" s="305"/>
      <c r="G117" s="306"/>
      <c r="H117" s="306"/>
    </row>
    <row r="118" spans="1:8" s="184" customFormat="1" ht="34.5" customHeight="1">
      <c r="A118" s="301"/>
      <c r="B118" s="302"/>
      <c r="C118" s="303"/>
      <c r="D118" s="303"/>
      <c r="E118" s="304"/>
      <c r="F118" s="305"/>
      <c r="G118" s="306"/>
      <c r="H118" s="306"/>
    </row>
    <row r="119" spans="1:8" s="184" customFormat="1" ht="34.5" customHeight="1">
      <c r="A119" s="301"/>
      <c r="B119" s="302"/>
      <c r="C119" s="303"/>
      <c r="D119" s="303"/>
      <c r="E119" s="304"/>
      <c r="F119" s="305"/>
      <c r="G119" s="306"/>
      <c r="H119" s="306"/>
    </row>
    <row r="120" spans="1:8" s="184" customFormat="1" ht="34.5" customHeight="1">
      <c r="A120" s="301"/>
      <c r="B120" s="302"/>
      <c r="C120" s="303"/>
      <c r="D120" s="303"/>
      <c r="E120" s="304"/>
      <c r="F120" s="305"/>
      <c r="G120" s="306"/>
      <c r="H120" s="306"/>
    </row>
    <row r="121" spans="1:8" s="184" customFormat="1" ht="34.5" customHeight="1">
      <c r="A121" s="301"/>
      <c r="B121" s="302"/>
      <c r="C121" s="303"/>
      <c r="D121" s="303"/>
      <c r="E121" s="304"/>
      <c r="F121" s="305"/>
      <c r="G121" s="306"/>
      <c r="H121" s="306"/>
    </row>
    <row r="122" spans="1:8" s="184" customFormat="1" ht="34.5" customHeight="1">
      <c r="A122" s="301"/>
      <c r="B122" s="302"/>
      <c r="C122" s="303"/>
      <c r="D122" s="303"/>
      <c r="E122" s="304"/>
      <c r="F122" s="305"/>
      <c r="G122" s="306"/>
      <c r="H122" s="306"/>
    </row>
    <row r="123" s="184" customFormat="1" ht="19.5" customHeight="1"/>
    <row r="124" spans="1:8" s="184" customFormat="1" ht="15.75">
      <c r="A124" s="308" t="s">
        <v>496</v>
      </c>
      <c r="B124" s="308"/>
      <c r="C124" s="308"/>
      <c r="D124" s="251"/>
      <c r="E124" s="251"/>
      <c r="F124" s="251"/>
      <c r="G124" s="251"/>
      <c r="H124" s="251"/>
    </row>
    <row r="125" spans="1:8" s="184" customFormat="1" ht="15">
      <c r="A125" s="309" t="s">
        <v>497</v>
      </c>
      <c r="B125" s="309"/>
      <c r="C125" s="309"/>
      <c r="D125" s="251"/>
      <c r="E125" s="251"/>
      <c r="F125" s="251"/>
      <c r="G125" s="251"/>
      <c r="H125" s="251"/>
    </row>
    <row r="126" spans="1:8" s="184" customFormat="1" ht="15">
      <c r="A126" s="251"/>
      <c r="B126" s="251"/>
      <c r="C126" s="251"/>
      <c r="D126" s="251"/>
      <c r="E126" s="251"/>
      <c r="F126" s="251"/>
      <c r="G126" s="251"/>
      <c r="H126" s="251"/>
    </row>
    <row r="127" spans="1:8" s="184" customFormat="1" ht="15">
      <c r="A127" s="251"/>
      <c r="B127" s="251"/>
      <c r="C127" s="251"/>
      <c r="D127" s="251"/>
      <c r="E127" s="251"/>
      <c r="F127" s="251"/>
      <c r="G127" s="251"/>
      <c r="H127" s="251"/>
    </row>
    <row r="128" spans="1:8" s="184" customFormat="1" ht="15">
      <c r="A128" s="251"/>
      <c r="B128" s="251"/>
      <c r="C128" s="251"/>
      <c r="D128" s="251"/>
      <c r="E128" s="251"/>
      <c r="F128" s="251"/>
      <c r="G128" s="251"/>
      <c r="H128" s="251"/>
    </row>
    <row r="129" s="184" customFormat="1" ht="15"/>
  </sheetData>
  <sheetProtection/>
  <mergeCells count="14">
    <mergeCell ref="A1:G1"/>
    <mergeCell ref="A2:G2"/>
    <mergeCell ref="A4:A6"/>
    <mergeCell ref="B4:B6"/>
    <mergeCell ref="C4:D6"/>
    <mergeCell ref="E4:E6"/>
    <mergeCell ref="F4:F6"/>
    <mergeCell ref="G4:G6"/>
    <mergeCell ref="H4:H6"/>
    <mergeCell ref="I4:P4"/>
    <mergeCell ref="I5:L5"/>
    <mergeCell ref="M5:P5"/>
    <mergeCell ref="A50:E50"/>
    <mergeCell ref="A49:E49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27"/>
  <sheetViews>
    <sheetView zoomScalePageLayoutView="0" workbookViewId="0" topLeftCell="A37">
      <selection activeCell="A48" sqref="A48:E48"/>
    </sheetView>
  </sheetViews>
  <sheetFormatPr defaultColWidth="9.140625" defaultRowHeight="15"/>
  <cols>
    <col min="1" max="1" width="5.7109375" style="0" customWidth="1"/>
    <col min="2" max="2" width="17.00390625" style="0" customWidth="1"/>
    <col min="3" max="3" width="43.28125" style="0" customWidth="1"/>
    <col min="4" max="5" width="26.57421875" style="0" customWidth="1"/>
    <col min="6" max="6" width="19.28125" style="0" customWidth="1"/>
    <col min="7" max="7" width="22.7109375" style="0" customWidth="1"/>
    <col min="8" max="8" width="24.140625" style="0" customWidth="1"/>
    <col min="11" max="12" width="10.28125" style="0" customWidth="1"/>
    <col min="14" max="14" width="8.421875" style="0" customWidth="1"/>
  </cols>
  <sheetData>
    <row r="1" spans="1:8" s="241" customFormat="1" ht="32.25" customHeight="1">
      <c r="A1" s="547" t="s">
        <v>421</v>
      </c>
      <c r="B1" s="547"/>
      <c r="C1" s="547"/>
      <c r="D1" s="547"/>
      <c r="E1" s="547"/>
      <c r="F1" s="547"/>
      <c r="G1" s="547"/>
      <c r="H1" s="240"/>
    </row>
    <row r="2" spans="1:8" s="241" customFormat="1" ht="18.75">
      <c r="A2" s="548" t="s">
        <v>498</v>
      </c>
      <c r="B2" s="548"/>
      <c r="C2" s="548"/>
      <c r="D2" s="548"/>
      <c r="E2" s="548"/>
      <c r="F2" s="548"/>
      <c r="G2" s="548"/>
      <c r="H2" s="242"/>
    </row>
    <row r="3" spans="1:8" s="241" customFormat="1" ht="15.75">
      <c r="A3" s="243"/>
      <c r="B3" s="243"/>
      <c r="C3" s="243"/>
      <c r="D3" s="243"/>
      <c r="E3" s="243"/>
      <c r="F3" s="243"/>
      <c r="G3" s="243"/>
      <c r="H3" s="243"/>
    </row>
    <row r="4" spans="1:16" s="241" customFormat="1" ht="15.75">
      <c r="A4" s="549" t="s">
        <v>266</v>
      </c>
      <c r="B4" s="549" t="s">
        <v>423</v>
      </c>
      <c r="C4" s="549" t="s">
        <v>424</v>
      </c>
      <c r="D4" s="549"/>
      <c r="E4" s="550" t="s">
        <v>425</v>
      </c>
      <c r="F4" s="549" t="s">
        <v>426</v>
      </c>
      <c r="G4" s="549" t="s">
        <v>427</v>
      </c>
      <c r="H4" s="540" t="s">
        <v>428</v>
      </c>
      <c r="I4" s="543" t="s">
        <v>429</v>
      </c>
      <c r="J4" s="543"/>
      <c r="K4" s="543"/>
      <c r="L4" s="543"/>
      <c r="M4" s="543"/>
      <c r="N4" s="543"/>
      <c r="O4" s="543"/>
      <c r="P4" s="543"/>
    </row>
    <row r="5" spans="1:16" s="241" customFormat="1" ht="15.75">
      <c r="A5" s="549"/>
      <c r="B5" s="549"/>
      <c r="C5" s="549"/>
      <c r="D5" s="549"/>
      <c r="E5" s="550"/>
      <c r="F5" s="549"/>
      <c r="G5" s="549"/>
      <c r="H5" s="541"/>
      <c r="I5" s="544" t="s">
        <v>148</v>
      </c>
      <c r="J5" s="544"/>
      <c r="K5" s="544"/>
      <c r="L5" s="544"/>
      <c r="M5" s="544" t="s">
        <v>24</v>
      </c>
      <c r="N5" s="544"/>
      <c r="O5" s="544"/>
      <c r="P5" s="544"/>
    </row>
    <row r="6" spans="1:16" s="251" customFormat="1" ht="146.25" customHeight="1">
      <c r="A6" s="549"/>
      <c r="B6" s="549"/>
      <c r="C6" s="549"/>
      <c r="D6" s="549"/>
      <c r="E6" s="550"/>
      <c r="F6" s="549"/>
      <c r="G6" s="549"/>
      <c r="H6" s="542"/>
      <c r="I6" s="247" t="s">
        <v>430</v>
      </c>
      <c r="J6" s="248" t="s">
        <v>431</v>
      </c>
      <c r="K6" s="249" t="s">
        <v>432</v>
      </c>
      <c r="L6" s="250" t="s">
        <v>433</v>
      </c>
      <c r="M6" s="247" t="s">
        <v>430</v>
      </c>
      <c r="N6" s="248" t="s">
        <v>431</v>
      </c>
      <c r="O6" s="249" t="s">
        <v>434</v>
      </c>
      <c r="P6" s="250" t="s">
        <v>435</v>
      </c>
    </row>
    <row r="7" spans="1:16" s="251" customFormat="1" ht="15.75" customHeight="1">
      <c r="A7" s="244">
        <v>1</v>
      </c>
      <c r="B7" s="244">
        <v>2</v>
      </c>
      <c r="C7" s="244">
        <v>3</v>
      </c>
      <c r="D7" s="244">
        <v>4</v>
      </c>
      <c r="E7" s="245">
        <v>5</v>
      </c>
      <c r="F7" s="244">
        <v>6</v>
      </c>
      <c r="G7" s="244">
        <v>7</v>
      </c>
      <c r="H7" s="246">
        <v>8</v>
      </c>
      <c r="I7" s="247">
        <v>9</v>
      </c>
      <c r="J7" s="248">
        <v>10</v>
      </c>
      <c r="K7" s="249">
        <v>11</v>
      </c>
      <c r="L7" s="249">
        <v>12</v>
      </c>
      <c r="M7" s="247">
        <v>13</v>
      </c>
      <c r="N7" s="248">
        <v>14</v>
      </c>
      <c r="O7" s="249">
        <v>15</v>
      </c>
      <c r="P7" s="249">
        <v>16</v>
      </c>
    </row>
    <row r="8" spans="1:19" s="184" customFormat="1" ht="34.5" customHeight="1">
      <c r="A8" s="322">
        <v>1</v>
      </c>
      <c r="B8" s="323" t="s">
        <v>528</v>
      </c>
      <c r="C8" s="324" t="s">
        <v>499</v>
      </c>
      <c r="D8" s="324" t="s">
        <v>500</v>
      </c>
      <c r="E8" s="325" t="s">
        <v>438</v>
      </c>
      <c r="F8" s="326">
        <v>0.9166</v>
      </c>
      <c r="G8" s="325">
        <v>30</v>
      </c>
      <c r="H8" s="325">
        <v>30</v>
      </c>
      <c r="I8" s="314">
        <f aca="true" t="shared" si="0" ref="I8:K10">F8</f>
        <v>0.9166</v>
      </c>
      <c r="J8" s="261">
        <f t="shared" si="0"/>
        <v>30</v>
      </c>
      <c r="K8" s="262">
        <f t="shared" si="0"/>
        <v>30</v>
      </c>
      <c r="L8" s="263">
        <f>I8*K8</f>
        <v>27.497999999999998</v>
      </c>
      <c r="M8" s="264"/>
      <c r="N8" s="261"/>
      <c r="O8" s="262"/>
      <c r="P8" s="263">
        <f>M8*O8</f>
        <v>0</v>
      </c>
      <c r="R8" s="310" t="s">
        <v>77</v>
      </c>
      <c r="S8" s="310">
        <v>10</v>
      </c>
    </row>
    <row r="9" spans="1:19" s="184" customFormat="1" ht="34.5" customHeight="1">
      <c r="A9" s="322">
        <v>2</v>
      </c>
      <c r="B9" s="323" t="s">
        <v>529</v>
      </c>
      <c r="C9" s="324" t="s">
        <v>499</v>
      </c>
      <c r="D9" s="324" t="s">
        <v>466</v>
      </c>
      <c r="E9" s="325" t="s">
        <v>438</v>
      </c>
      <c r="F9" s="326">
        <v>6</v>
      </c>
      <c r="G9" s="325">
        <v>76</v>
      </c>
      <c r="H9" s="325">
        <v>47</v>
      </c>
      <c r="I9" s="314">
        <f t="shared" si="0"/>
        <v>6</v>
      </c>
      <c r="J9" s="261">
        <f t="shared" si="0"/>
        <v>76</v>
      </c>
      <c r="K9" s="262">
        <f t="shared" si="0"/>
        <v>47</v>
      </c>
      <c r="L9" s="263">
        <f>I9*K9</f>
        <v>282</v>
      </c>
      <c r="M9" s="260"/>
      <c r="N9" s="261"/>
      <c r="O9" s="262"/>
      <c r="P9" s="263">
        <f>M9*O9</f>
        <v>0</v>
      </c>
      <c r="R9" s="310" t="s">
        <v>77</v>
      </c>
      <c r="S9" s="310">
        <v>6</v>
      </c>
    </row>
    <row r="10" spans="1:19" s="184" customFormat="1" ht="34.5" customHeight="1">
      <c r="A10" s="322">
        <v>3</v>
      </c>
      <c r="B10" s="323" t="s">
        <v>530</v>
      </c>
      <c r="C10" s="324" t="s">
        <v>499</v>
      </c>
      <c r="D10" s="324" t="s">
        <v>450</v>
      </c>
      <c r="E10" s="325" t="s">
        <v>438</v>
      </c>
      <c r="F10" s="326">
        <v>0.9166</v>
      </c>
      <c r="G10" s="325">
        <v>28</v>
      </c>
      <c r="H10" s="325">
        <v>20</v>
      </c>
      <c r="I10" s="314">
        <f t="shared" si="0"/>
        <v>0.9166</v>
      </c>
      <c r="J10" s="261">
        <f t="shared" si="0"/>
        <v>28</v>
      </c>
      <c r="K10" s="262">
        <f t="shared" si="0"/>
        <v>20</v>
      </c>
      <c r="L10" s="263">
        <f aca="true" t="shared" si="1" ref="L10:L42">I10*K10</f>
        <v>18.332</v>
      </c>
      <c r="M10" s="264"/>
      <c r="N10" s="261"/>
      <c r="O10" s="262"/>
      <c r="P10" s="263">
        <f aca="true" t="shared" si="2" ref="P10:P42">M10*O10</f>
        <v>0</v>
      </c>
      <c r="R10" s="310" t="s">
        <v>77</v>
      </c>
      <c r="S10" s="310">
        <v>6</v>
      </c>
    </row>
    <row r="11" spans="1:19" s="184" customFormat="1" ht="34.5" customHeight="1">
      <c r="A11" s="327">
        <v>4</v>
      </c>
      <c r="B11" s="328" t="s">
        <v>485</v>
      </c>
      <c r="C11" s="324" t="s">
        <v>499</v>
      </c>
      <c r="D11" s="329" t="s">
        <v>501</v>
      </c>
      <c r="E11" s="318" t="s">
        <v>438</v>
      </c>
      <c r="F11" s="330">
        <v>1.4166</v>
      </c>
      <c r="G11" s="318">
        <v>9</v>
      </c>
      <c r="H11" s="318">
        <v>6</v>
      </c>
      <c r="I11" s="265"/>
      <c r="J11" s="266"/>
      <c r="K11" s="267"/>
      <c r="L11" s="263">
        <f t="shared" si="1"/>
        <v>0</v>
      </c>
      <c r="M11" s="314">
        <f aca="true" t="shared" si="3" ref="M11:O15">F11</f>
        <v>1.4166</v>
      </c>
      <c r="N11" s="261">
        <f t="shared" si="3"/>
        <v>9</v>
      </c>
      <c r="O11" s="262">
        <f t="shared" si="3"/>
        <v>6</v>
      </c>
      <c r="P11" s="263">
        <f t="shared" si="2"/>
        <v>8.499600000000001</v>
      </c>
      <c r="R11" s="311" t="s">
        <v>557</v>
      </c>
      <c r="S11" s="311">
        <v>0.4</v>
      </c>
    </row>
    <row r="12" spans="1:19" s="184" customFormat="1" ht="34.5" customHeight="1">
      <c r="A12" s="327">
        <v>5</v>
      </c>
      <c r="B12" s="328" t="s">
        <v>485</v>
      </c>
      <c r="C12" s="324" t="s">
        <v>499</v>
      </c>
      <c r="D12" s="329" t="s">
        <v>502</v>
      </c>
      <c r="E12" s="318" t="s">
        <v>438</v>
      </c>
      <c r="F12" s="330">
        <v>5.916666666666667</v>
      </c>
      <c r="G12" s="318">
        <v>12</v>
      </c>
      <c r="H12" s="318">
        <v>12</v>
      </c>
      <c r="I12" s="265"/>
      <c r="J12" s="266"/>
      <c r="K12" s="267"/>
      <c r="L12" s="263">
        <f t="shared" si="1"/>
        <v>0</v>
      </c>
      <c r="M12" s="314">
        <f t="shared" si="3"/>
        <v>5.916666666666667</v>
      </c>
      <c r="N12" s="261">
        <f t="shared" si="3"/>
        <v>12</v>
      </c>
      <c r="O12" s="262">
        <f t="shared" si="3"/>
        <v>12</v>
      </c>
      <c r="P12" s="263">
        <f t="shared" si="2"/>
        <v>71</v>
      </c>
      <c r="R12" s="311" t="s">
        <v>77</v>
      </c>
      <c r="S12" s="311">
        <v>0.4</v>
      </c>
    </row>
    <row r="13" spans="1:19" s="184" customFormat="1" ht="34.5" customHeight="1">
      <c r="A13" s="327">
        <v>6</v>
      </c>
      <c r="B13" s="328" t="s">
        <v>530</v>
      </c>
      <c r="C13" s="324" t="s">
        <v>499</v>
      </c>
      <c r="D13" s="329" t="s">
        <v>503</v>
      </c>
      <c r="E13" s="318" t="s">
        <v>438</v>
      </c>
      <c r="F13" s="330">
        <v>21.5</v>
      </c>
      <c r="G13" s="318">
        <v>1</v>
      </c>
      <c r="H13" s="318">
        <v>1</v>
      </c>
      <c r="I13" s="315"/>
      <c r="J13" s="316"/>
      <c r="K13" s="317"/>
      <c r="L13" s="263">
        <f t="shared" si="1"/>
        <v>0</v>
      </c>
      <c r="M13" s="314">
        <f t="shared" si="3"/>
        <v>21.5</v>
      </c>
      <c r="N13" s="261">
        <f t="shared" si="3"/>
        <v>1</v>
      </c>
      <c r="O13" s="262">
        <f t="shared" si="3"/>
        <v>1</v>
      </c>
      <c r="P13" s="263">
        <f t="shared" si="2"/>
        <v>21.5</v>
      </c>
      <c r="R13" s="311" t="s">
        <v>77</v>
      </c>
      <c r="S13" s="311">
        <v>0.4</v>
      </c>
    </row>
    <row r="14" spans="1:19" s="184" customFormat="1" ht="34.5" customHeight="1">
      <c r="A14" s="327">
        <v>7</v>
      </c>
      <c r="B14" s="328" t="s">
        <v>485</v>
      </c>
      <c r="C14" s="324" t="s">
        <v>499</v>
      </c>
      <c r="D14" s="329" t="s">
        <v>504</v>
      </c>
      <c r="E14" s="318" t="s">
        <v>438</v>
      </c>
      <c r="F14" s="330">
        <v>41.1666</v>
      </c>
      <c r="G14" s="318">
        <v>1</v>
      </c>
      <c r="H14" s="318">
        <v>1</v>
      </c>
      <c r="I14" s="315"/>
      <c r="J14" s="316"/>
      <c r="K14" s="317"/>
      <c r="L14" s="263">
        <f t="shared" si="1"/>
        <v>0</v>
      </c>
      <c r="M14" s="314">
        <f t="shared" si="3"/>
        <v>41.1666</v>
      </c>
      <c r="N14" s="261">
        <f t="shared" si="3"/>
        <v>1</v>
      </c>
      <c r="O14" s="262">
        <f t="shared" si="3"/>
        <v>1</v>
      </c>
      <c r="P14" s="263">
        <f t="shared" si="2"/>
        <v>41.1666</v>
      </c>
      <c r="R14" s="311" t="s">
        <v>77</v>
      </c>
      <c r="S14" s="311">
        <v>0.4</v>
      </c>
    </row>
    <row r="15" spans="1:19" s="184" customFormat="1" ht="34.5" customHeight="1">
      <c r="A15" s="327">
        <v>8</v>
      </c>
      <c r="B15" s="328" t="s">
        <v>485</v>
      </c>
      <c r="C15" s="324" t="s">
        <v>499</v>
      </c>
      <c r="D15" s="329" t="s">
        <v>505</v>
      </c>
      <c r="E15" s="318" t="s">
        <v>438</v>
      </c>
      <c r="F15" s="330">
        <v>0.4166</v>
      </c>
      <c r="G15" s="318">
        <v>3</v>
      </c>
      <c r="H15" s="318">
        <v>3</v>
      </c>
      <c r="I15" s="314"/>
      <c r="J15" s="261"/>
      <c r="K15" s="262"/>
      <c r="L15" s="263">
        <f t="shared" si="1"/>
        <v>0</v>
      </c>
      <c r="M15" s="314">
        <f t="shared" si="3"/>
        <v>0.4166</v>
      </c>
      <c r="N15" s="261">
        <f t="shared" si="3"/>
        <v>3</v>
      </c>
      <c r="O15" s="262">
        <f t="shared" si="3"/>
        <v>3</v>
      </c>
      <c r="P15" s="263">
        <f t="shared" si="2"/>
        <v>1.2498</v>
      </c>
      <c r="R15" s="311" t="s">
        <v>557</v>
      </c>
      <c r="S15" s="311">
        <v>0.4</v>
      </c>
    </row>
    <row r="16" spans="1:19" s="184" customFormat="1" ht="34.5" customHeight="1">
      <c r="A16" s="327">
        <v>9</v>
      </c>
      <c r="B16" s="328" t="s">
        <v>531</v>
      </c>
      <c r="C16" s="324" t="s">
        <v>499</v>
      </c>
      <c r="D16" s="329" t="s">
        <v>506</v>
      </c>
      <c r="E16" s="331" t="s">
        <v>438</v>
      </c>
      <c r="F16" s="330">
        <v>0.5</v>
      </c>
      <c r="G16" s="318">
        <v>57</v>
      </c>
      <c r="H16" s="318">
        <v>42</v>
      </c>
      <c r="I16" s="314">
        <f aca="true" t="shared" si="4" ref="I16:K17">F16</f>
        <v>0.5</v>
      </c>
      <c r="J16" s="261">
        <f t="shared" si="4"/>
        <v>57</v>
      </c>
      <c r="K16" s="262">
        <f t="shared" si="4"/>
        <v>42</v>
      </c>
      <c r="L16" s="263">
        <f t="shared" si="1"/>
        <v>21</v>
      </c>
      <c r="M16" s="260"/>
      <c r="N16" s="261"/>
      <c r="O16" s="262"/>
      <c r="P16" s="263">
        <f t="shared" si="2"/>
        <v>0</v>
      </c>
      <c r="R16" s="311" t="s">
        <v>76</v>
      </c>
      <c r="S16" s="311">
        <v>6</v>
      </c>
    </row>
    <row r="17" spans="1:19" s="184" customFormat="1" ht="34.5" customHeight="1">
      <c r="A17" s="327">
        <v>10</v>
      </c>
      <c r="B17" s="328" t="s">
        <v>532</v>
      </c>
      <c r="C17" s="324" t="s">
        <v>499</v>
      </c>
      <c r="D17" s="329" t="s">
        <v>507</v>
      </c>
      <c r="E17" s="318" t="s">
        <v>438</v>
      </c>
      <c r="F17" s="330">
        <v>0.0833</v>
      </c>
      <c r="G17" s="318">
        <v>91</v>
      </c>
      <c r="H17" s="318">
        <v>54</v>
      </c>
      <c r="I17" s="314">
        <f t="shared" si="4"/>
        <v>0.0833</v>
      </c>
      <c r="J17" s="261">
        <f t="shared" si="4"/>
        <v>91</v>
      </c>
      <c r="K17" s="262">
        <f t="shared" si="4"/>
        <v>54</v>
      </c>
      <c r="L17" s="263">
        <f t="shared" si="1"/>
        <v>4.4982</v>
      </c>
      <c r="M17" s="260"/>
      <c r="N17" s="261"/>
      <c r="O17" s="262"/>
      <c r="P17" s="263">
        <f t="shared" si="2"/>
        <v>0</v>
      </c>
      <c r="R17" s="311" t="s">
        <v>558</v>
      </c>
      <c r="S17" s="311">
        <v>6</v>
      </c>
    </row>
    <row r="18" spans="1:19" s="184" customFormat="1" ht="34.5" customHeight="1">
      <c r="A18" s="327">
        <v>11</v>
      </c>
      <c r="B18" s="328" t="s">
        <v>533</v>
      </c>
      <c r="C18" s="324" t="s">
        <v>499</v>
      </c>
      <c r="D18" s="329" t="s">
        <v>508</v>
      </c>
      <c r="E18" s="318" t="s">
        <v>438</v>
      </c>
      <c r="F18" s="330">
        <v>5.3333</v>
      </c>
      <c r="G18" s="318">
        <v>2</v>
      </c>
      <c r="H18" s="318">
        <v>2</v>
      </c>
      <c r="I18" s="265"/>
      <c r="J18" s="266"/>
      <c r="K18" s="267"/>
      <c r="L18" s="263">
        <f t="shared" si="1"/>
        <v>0</v>
      </c>
      <c r="M18" s="314">
        <f aca="true" t="shared" si="5" ref="M18:O19">F18</f>
        <v>5.3333</v>
      </c>
      <c r="N18" s="261">
        <f t="shared" si="5"/>
        <v>2</v>
      </c>
      <c r="O18" s="262">
        <f t="shared" si="5"/>
        <v>2</v>
      </c>
      <c r="P18" s="263">
        <f t="shared" si="2"/>
        <v>10.6666</v>
      </c>
      <c r="R18" s="311" t="s">
        <v>76</v>
      </c>
      <c r="S18" s="311">
        <v>0.4</v>
      </c>
    </row>
    <row r="19" spans="1:19" s="184" customFormat="1" ht="34.5" customHeight="1">
      <c r="A19" s="327">
        <v>12</v>
      </c>
      <c r="B19" s="328" t="s">
        <v>534</v>
      </c>
      <c r="C19" s="324" t="s">
        <v>499</v>
      </c>
      <c r="D19" s="329" t="s">
        <v>509</v>
      </c>
      <c r="E19" s="318" t="s">
        <v>438</v>
      </c>
      <c r="F19" s="330">
        <v>0.8333</v>
      </c>
      <c r="G19" s="318">
        <v>1</v>
      </c>
      <c r="H19" s="318">
        <v>1</v>
      </c>
      <c r="I19" s="265"/>
      <c r="J19" s="266"/>
      <c r="K19" s="267"/>
      <c r="L19" s="263">
        <f t="shared" si="1"/>
        <v>0</v>
      </c>
      <c r="M19" s="314">
        <f t="shared" si="5"/>
        <v>0.8333</v>
      </c>
      <c r="N19" s="261">
        <f t="shared" si="5"/>
        <v>1</v>
      </c>
      <c r="O19" s="262">
        <f t="shared" si="5"/>
        <v>1</v>
      </c>
      <c r="P19" s="263">
        <f t="shared" si="2"/>
        <v>0.8333</v>
      </c>
      <c r="R19" s="311" t="s">
        <v>559</v>
      </c>
      <c r="S19" s="311">
        <v>0.4</v>
      </c>
    </row>
    <row r="20" spans="1:19" s="184" customFormat="1" ht="34.5" customHeight="1">
      <c r="A20" s="327">
        <v>13</v>
      </c>
      <c r="B20" s="328" t="s">
        <v>535</v>
      </c>
      <c r="C20" s="324" t="s">
        <v>499</v>
      </c>
      <c r="D20" s="329" t="s">
        <v>510</v>
      </c>
      <c r="E20" s="318" t="s">
        <v>438</v>
      </c>
      <c r="F20" s="330">
        <v>1.6666</v>
      </c>
      <c r="G20" s="318">
        <v>38</v>
      </c>
      <c r="H20" s="318">
        <v>33</v>
      </c>
      <c r="I20" s="314">
        <f aca="true" t="shared" si="6" ref="I20:K27">F20</f>
        <v>1.6666</v>
      </c>
      <c r="J20" s="261">
        <f t="shared" si="6"/>
        <v>38</v>
      </c>
      <c r="K20" s="262">
        <f t="shared" si="6"/>
        <v>33</v>
      </c>
      <c r="L20" s="263">
        <f t="shared" si="1"/>
        <v>54.997800000000005</v>
      </c>
      <c r="M20" s="260"/>
      <c r="N20" s="261"/>
      <c r="O20" s="262"/>
      <c r="P20" s="263">
        <f t="shared" si="2"/>
        <v>0</v>
      </c>
      <c r="R20" s="311" t="s">
        <v>560</v>
      </c>
      <c r="S20" s="311">
        <v>10</v>
      </c>
    </row>
    <row r="21" spans="1:19" s="184" customFormat="1" ht="34.5" customHeight="1">
      <c r="A21" s="327">
        <v>14</v>
      </c>
      <c r="B21" s="328" t="s">
        <v>536</v>
      </c>
      <c r="C21" s="324" t="s">
        <v>499</v>
      </c>
      <c r="D21" s="329" t="s">
        <v>464</v>
      </c>
      <c r="E21" s="318" t="s">
        <v>438</v>
      </c>
      <c r="F21" s="330">
        <v>1.6666</v>
      </c>
      <c r="G21" s="318">
        <v>12</v>
      </c>
      <c r="H21" s="318">
        <v>12</v>
      </c>
      <c r="I21" s="314">
        <f t="shared" si="6"/>
        <v>1.6666</v>
      </c>
      <c r="J21" s="261">
        <f t="shared" si="6"/>
        <v>12</v>
      </c>
      <c r="K21" s="262">
        <f t="shared" si="6"/>
        <v>12</v>
      </c>
      <c r="L21" s="263">
        <f t="shared" si="1"/>
        <v>19.999200000000002</v>
      </c>
      <c r="M21" s="260"/>
      <c r="N21" s="261"/>
      <c r="O21" s="262"/>
      <c r="P21" s="263">
        <f t="shared" si="2"/>
        <v>0</v>
      </c>
      <c r="R21" s="311" t="s">
        <v>560</v>
      </c>
      <c r="S21" s="311">
        <v>6</v>
      </c>
    </row>
    <row r="22" spans="1:19" s="184" customFormat="1" ht="34.5" customHeight="1">
      <c r="A22" s="327">
        <v>15</v>
      </c>
      <c r="B22" s="328" t="s">
        <v>537</v>
      </c>
      <c r="C22" s="324" t="s">
        <v>499</v>
      </c>
      <c r="D22" s="329" t="s">
        <v>511</v>
      </c>
      <c r="E22" s="318" t="s">
        <v>438</v>
      </c>
      <c r="F22" s="330">
        <v>5.3333</v>
      </c>
      <c r="G22" s="318">
        <v>79</v>
      </c>
      <c r="H22" s="318">
        <v>53</v>
      </c>
      <c r="I22" s="314">
        <f t="shared" si="6"/>
        <v>5.3333</v>
      </c>
      <c r="J22" s="261">
        <f t="shared" si="6"/>
        <v>79</v>
      </c>
      <c r="K22" s="262">
        <f t="shared" si="6"/>
        <v>53</v>
      </c>
      <c r="L22" s="263">
        <f t="shared" si="1"/>
        <v>282.66490000000005</v>
      </c>
      <c r="M22" s="260"/>
      <c r="N22" s="261"/>
      <c r="O22" s="262"/>
      <c r="P22" s="263">
        <f t="shared" si="2"/>
        <v>0</v>
      </c>
      <c r="R22" s="311" t="s">
        <v>560</v>
      </c>
      <c r="S22" s="311">
        <v>6</v>
      </c>
    </row>
    <row r="23" spans="1:19" s="184" customFormat="1" ht="34.5" customHeight="1">
      <c r="A23" s="327">
        <v>16</v>
      </c>
      <c r="B23" s="328" t="s">
        <v>538</v>
      </c>
      <c r="C23" s="324" t="s">
        <v>499</v>
      </c>
      <c r="D23" s="329" t="s">
        <v>512</v>
      </c>
      <c r="E23" s="318" t="s">
        <v>438</v>
      </c>
      <c r="F23" s="330">
        <v>0.6333</v>
      </c>
      <c r="G23" s="318">
        <v>91</v>
      </c>
      <c r="H23" s="318">
        <v>54</v>
      </c>
      <c r="I23" s="314">
        <f t="shared" si="6"/>
        <v>0.6333</v>
      </c>
      <c r="J23" s="261">
        <f t="shared" si="6"/>
        <v>91</v>
      </c>
      <c r="K23" s="262">
        <f t="shared" si="6"/>
        <v>54</v>
      </c>
      <c r="L23" s="263">
        <f t="shared" si="1"/>
        <v>34.1982</v>
      </c>
      <c r="M23" s="260"/>
      <c r="N23" s="261"/>
      <c r="O23" s="262"/>
      <c r="P23" s="263">
        <f t="shared" si="2"/>
        <v>0</v>
      </c>
      <c r="R23" s="311" t="s">
        <v>559</v>
      </c>
      <c r="S23" s="311">
        <v>6</v>
      </c>
    </row>
    <row r="24" spans="1:19" s="184" customFormat="1" ht="34.5" customHeight="1">
      <c r="A24" s="327">
        <v>17</v>
      </c>
      <c r="B24" s="328" t="s">
        <v>539</v>
      </c>
      <c r="C24" s="324" t="s">
        <v>499</v>
      </c>
      <c r="D24" s="329" t="s">
        <v>513</v>
      </c>
      <c r="E24" s="318" t="s">
        <v>438</v>
      </c>
      <c r="F24" s="330">
        <v>0.2</v>
      </c>
      <c r="G24" s="318">
        <v>91</v>
      </c>
      <c r="H24" s="318">
        <v>54</v>
      </c>
      <c r="I24" s="314">
        <f t="shared" si="6"/>
        <v>0.2</v>
      </c>
      <c r="J24" s="261">
        <f t="shared" si="6"/>
        <v>91</v>
      </c>
      <c r="K24" s="262">
        <f t="shared" si="6"/>
        <v>54</v>
      </c>
      <c r="L24" s="263">
        <f t="shared" si="1"/>
        <v>10.8</v>
      </c>
      <c r="M24" s="260"/>
      <c r="N24" s="261"/>
      <c r="O24" s="262"/>
      <c r="P24" s="263">
        <f t="shared" si="2"/>
        <v>0</v>
      </c>
      <c r="R24" s="311" t="s">
        <v>558</v>
      </c>
      <c r="S24" s="311">
        <v>6</v>
      </c>
    </row>
    <row r="25" spans="1:19" s="184" customFormat="1" ht="34.5" customHeight="1">
      <c r="A25" s="327">
        <v>18</v>
      </c>
      <c r="B25" s="328" t="s">
        <v>540</v>
      </c>
      <c r="C25" s="324" t="s">
        <v>499</v>
      </c>
      <c r="D25" s="329" t="s">
        <v>514</v>
      </c>
      <c r="E25" s="318" t="s">
        <v>438</v>
      </c>
      <c r="F25" s="330">
        <v>0.1666</v>
      </c>
      <c r="G25" s="318">
        <v>51</v>
      </c>
      <c r="H25" s="318">
        <v>44</v>
      </c>
      <c r="I25" s="314">
        <f t="shared" si="6"/>
        <v>0.1666</v>
      </c>
      <c r="J25" s="261">
        <f t="shared" si="6"/>
        <v>51</v>
      </c>
      <c r="K25" s="262">
        <f t="shared" si="6"/>
        <v>44</v>
      </c>
      <c r="L25" s="263">
        <f t="shared" si="1"/>
        <v>7.3304</v>
      </c>
      <c r="M25" s="260"/>
      <c r="N25" s="261"/>
      <c r="O25" s="262"/>
      <c r="P25" s="263">
        <f t="shared" si="2"/>
        <v>0</v>
      </c>
      <c r="R25" s="311" t="s">
        <v>558</v>
      </c>
      <c r="S25" s="311">
        <v>6</v>
      </c>
    </row>
    <row r="26" spans="1:19" s="184" customFormat="1" ht="34.5" customHeight="1">
      <c r="A26" s="327">
        <v>19</v>
      </c>
      <c r="B26" s="328" t="s">
        <v>540</v>
      </c>
      <c r="C26" s="324" t="s">
        <v>499</v>
      </c>
      <c r="D26" s="329" t="s">
        <v>515</v>
      </c>
      <c r="E26" s="318" t="s">
        <v>438</v>
      </c>
      <c r="F26" s="330">
        <v>0.1666</v>
      </c>
      <c r="G26" s="318">
        <v>51</v>
      </c>
      <c r="H26" s="318">
        <v>44</v>
      </c>
      <c r="I26" s="314">
        <f t="shared" si="6"/>
        <v>0.1666</v>
      </c>
      <c r="J26" s="261">
        <f t="shared" si="6"/>
        <v>51</v>
      </c>
      <c r="K26" s="262">
        <f t="shared" si="6"/>
        <v>44</v>
      </c>
      <c r="L26" s="263">
        <f t="shared" si="1"/>
        <v>7.3304</v>
      </c>
      <c r="M26" s="260"/>
      <c r="N26" s="261"/>
      <c r="O26" s="262"/>
      <c r="P26" s="263">
        <f t="shared" si="2"/>
        <v>0</v>
      </c>
      <c r="R26" s="311" t="s">
        <v>558</v>
      </c>
      <c r="S26" s="311">
        <v>6</v>
      </c>
    </row>
    <row r="27" spans="1:19" s="184" customFormat="1" ht="34.5" customHeight="1">
      <c r="A27" s="327">
        <v>20</v>
      </c>
      <c r="B27" s="328" t="s">
        <v>541</v>
      </c>
      <c r="C27" s="324" t="s">
        <v>499</v>
      </c>
      <c r="D27" s="329" t="s">
        <v>516</v>
      </c>
      <c r="E27" s="318" t="s">
        <v>438</v>
      </c>
      <c r="F27" s="330">
        <v>0.1833</v>
      </c>
      <c r="G27" s="318">
        <v>91</v>
      </c>
      <c r="H27" s="318">
        <v>54</v>
      </c>
      <c r="I27" s="314">
        <f t="shared" si="6"/>
        <v>0.1833</v>
      </c>
      <c r="J27" s="261">
        <f t="shared" si="6"/>
        <v>91</v>
      </c>
      <c r="K27" s="262">
        <f t="shared" si="6"/>
        <v>54</v>
      </c>
      <c r="L27" s="263">
        <f t="shared" si="1"/>
        <v>9.8982</v>
      </c>
      <c r="M27" s="260"/>
      <c r="N27" s="261"/>
      <c r="O27" s="262"/>
      <c r="P27" s="263">
        <f t="shared" si="2"/>
        <v>0</v>
      </c>
      <c r="R27" s="311" t="s">
        <v>558</v>
      </c>
      <c r="S27" s="311">
        <v>6</v>
      </c>
    </row>
    <row r="28" spans="1:19" s="184" customFormat="1" ht="34.5" customHeight="1">
      <c r="A28" s="327">
        <v>21</v>
      </c>
      <c r="B28" s="328" t="s">
        <v>542</v>
      </c>
      <c r="C28" s="324" t="s">
        <v>499</v>
      </c>
      <c r="D28" s="329" t="s">
        <v>517</v>
      </c>
      <c r="E28" s="318" t="s">
        <v>438</v>
      </c>
      <c r="F28" s="330">
        <v>12.5</v>
      </c>
      <c r="G28" s="318">
        <v>1</v>
      </c>
      <c r="H28" s="318">
        <v>1</v>
      </c>
      <c r="I28" s="265"/>
      <c r="J28" s="266"/>
      <c r="K28" s="267"/>
      <c r="L28" s="263">
        <f t="shared" si="1"/>
        <v>0</v>
      </c>
      <c r="M28" s="314">
        <f>F28</f>
        <v>12.5</v>
      </c>
      <c r="N28" s="261">
        <f>G28</f>
        <v>1</v>
      </c>
      <c r="O28" s="262">
        <f>H28</f>
        <v>1</v>
      </c>
      <c r="P28" s="263">
        <f t="shared" si="2"/>
        <v>12.5</v>
      </c>
      <c r="R28" s="311" t="s">
        <v>560</v>
      </c>
      <c r="S28" s="311">
        <v>0.4</v>
      </c>
    </row>
    <row r="29" spans="1:19" s="184" customFormat="1" ht="34.5" customHeight="1">
      <c r="A29" s="327">
        <v>22</v>
      </c>
      <c r="B29" s="328" t="s">
        <v>543</v>
      </c>
      <c r="C29" s="324" t="s">
        <v>499</v>
      </c>
      <c r="D29" s="329" t="s">
        <v>452</v>
      </c>
      <c r="E29" s="318" t="s">
        <v>438</v>
      </c>
      <c r="F29" s="330">
        <v>7.5833</v>
      </c>
      <c r="G29" s="318">
        <v>141</v>
      </c>
      <c r="H29" s="318">
        <v>50</v>
      </c>
      <c r="I29" s="314">
        <f aca="true" t="shared" si="7" ref="I29:K30">F29</f>
        <v>7.5833</v>
      </c>
      <c r="J29" s="261">
        <f t="shared" si="7"/>
        <v>141</v>
      </c>
      <c r="K29" s="262">
        <f t="shared" si="7"/>
        <v>50</v>
      </c>
      <c r="L29" s="263">
        <f t="shared" si="1"/>
        <v>379.165</v>
      </c>
      <c r="M29" s="260"/>
      <c r="N29" s="261"/>
      <c r="O29" s="262"/>
      <c r="P29" s="263">
        <f t="shared" si="2"/>
        <v>0</v>
      </c>
      <c r="R29" s="311" t="s">
        <v>560</v>
      </c>
      <c r="S29" s="311">
        <v>10</v>
      </c>
    </row>
    <row r="30" spans="1:19" s="184" customFormat="1" ht="34.5" customHeight="1">
      <c r="A30" s="327">
        <v>23</v>
      </c>
      <c r="B30" s="332" t="s">
        <v>544</v>
      </c>
      <c r="C30" s="324" t="s">
        <v>518</v>
      </c>
      <c r="D30" s="329" t="s">
        <v>519</v>
      </c>
      <c r="E30" s="319" t="s">
        <v>556</v>
      </c>
      <c r="F30" s="333">
        <v>0.4</v>
      </c>
      <c r="G30" s="319">
        <v>4</v>
      </c>
      <c r="H30" s="319">
        <v>1</v>
      </c>
      <c r="I30" s="314">
        <f t="shared" si="7"/>
        <v>0.4</v>
      </c>
      <c r="J30" s="261">
        <f t="shared" si="7"/>
        <v>4</v>
      </c>
      <c r="K30" s="262">
        <f t="shared" si="7"/>
        <v>1</v>
      </c>
      <c r="L30" s="263">
        <f t="shared" si="1"/>
        <v>0.4</v>
      </c>
      <c r="M30" s="260"/>
      <c r="N30" s="261"/>
      <c r="O30" s="262"/>
      <c r="P30" s="263">
        <f t="shared" si="2"/>
        <v>0</v>
      </c>
      <c r="R30" s="312" t="s">
        <v>77</v>
      </c>
      <c r="S30" s="312" t="s">
        <v>561</v>
      </c>
    </row>
    <row r="31" spans="1:19" s="184" customFormat="1" ht="34.5" customHeight="1">
      <c r="A31" s="327">
        <v>24</v>
      </c>
      <c r="B31" s="332" t="s">
        <v>545</v>
      </c>
      <c r="C31" s="324" t="s">
        <v>518</v>
      </c>
      <c r="D31" s="329" t="s">
        <v>520</v>
      </c>
      <c r="E31" s="319" t="s">
        <v>556</v>
      </c>
      <c r="F31" s="333">
        <v>1.5</v>
      </c>
      <c r="G31" s="319">
        <v>1</v>
      </c>
      <c r="H31" s="319">
        <v>1</v>
      </c>
      <c r="I31" s="314"/>
      <c r="J31" s="261"/>
      <c r="K31" s="262"/>
      <c r="L31" s="263">
        <f t="shared" si="1"/>
        <v>0</v>
      </c>
      <c r="M31" s="314">
        <f>F31</f>
        <v>1.5</v>
      </c>
      <c r="N31" s="261">
        <f>G31</f>
        <v>1</v>
      </c>
      <c r="O31" s="262">
        <f>H31</f>
        <v>1</v>
      </c>
      <c r="P31" s="263">
        <f t="shared" si="2"/>
        <v>1.5</v>
      </c>
      <c r="R31" s="312" t="s">
        <v>76</v>
      </c>
      <c r="S31" s="312">
        <v>0.4</v>
      </c>
    </row>
    <row r="32" spans="1:19" s="184" customFormat="1" ht="34.5" customHeight="1">
      <c r="A32" s="327">
        <v>25</v>
      </c>
      <c r="B32" s="332" t="s">
        <v>546</v>
      </c>
      <c r="C32" s="324" t="s">
        <v>518</v>
      </c>
      <c r="D32" s="329" t="s">
        <v>521</v>
      </c>
      <c r="E32" s="319" t="s">
        <v>556</v>
      </c>
      <c r="F32" s="333">
        <v>4.25</v>
      </c>
      <c r="G32" s="319">
        <v>30</v>
      </c>
      <c r="H32" s="319">
        <v>30</v>
      </c>
      <c r="I32" s="314">
        <f aca="true" t="shared" si="8" ref="I32:K33">F32</f>
        <v>4.25</v>
      </c>
      <c r="J32" s="261">
        <f t="shared" si="8"/>
        <v>30</v>
      </c>
      <c r="K32" s="262">
        <f t="shared" si="8"/>
        <v>30</v>
      </c>
      <c r="L32" s="263">
        <f t="shared" si="1"/>
        <v>127.5</v>
      </c>
      <c r="M32" s="260"/>
      <c r="N32" s="261"/>
      <c r="O32" s="262"/>
      <c r="P32" s="263">
        <f t="shared" si="2"/>
        <v>0</v>
      </c>
      <c r="R32" s="312" t="s">
        <v>77</v>
      </c>
      <c r="S32" s="312" t="s">
        <v>561</v>
      </c>
    </row>
    <row r="33" spans="1:19" s="184" customFormat="1" ht="34.5" customHeight="1">
      <c r="A33" s="327">
        <v>26</v>
      </c>
      <c r="B33" s="332" t="s">
        <v>547</v>
      </c>
      <c r="C33" s="324" t="s">
        <v>518</v>
      </c>
      <c r="D33" s="329" t="s">
        <v>522</v>
      </c>
      <c r="E33" s="319" t="s">
        <v>556</v>
      </c>
      <c r="F33" s="333">
        <v>0.5</v>
      </c>
      <c r="G33" s="319">
        <v>4</v>
      </c>
      <c r="H33" s="319">
        <v>4</v>
      </c>
      <c r="I33" s="314">
        <f t="shared" si="8"/>
        <v>0.5</v>
      </c>
      <c r="J33" s="261">
        <f t="shared" si="8"/>
        <v>4</v>
      </c>
      <c r="K33" s="262">
        <f t="shared" si="8"/>
        <v>4</v>
      </c>
      <c r="L33" s="263">
        <f t="shared" si="1"/>
        <v>2</v>
      </c>
      <c r="M33" s="260"/>
      <c r="N33" s="261"/>
      <c r="O33" s="262"/>
      <c r="P33" s="263">
        <f t="shared" si="2"/>
        <v>0</v>
      </c>
      <c r="R33" s="312" t="s">
        <v>562</v>
      </c>
      <c r="S33" s="312">
        <v>10</v>
      </c>
    </row>
    <row r="34" spans="1:19" s="184" customFormat="1" ht="34.5" customHeight="1">
      <c r="A34" s="327">
        <v>27</v>
      </c>
      <c r="B34" s="332" t="s">
        <v>548</v>
      </c>
      <c r="C34" s="324" t="s">
        <v>518</v>
      </c>
      <c r="D34" s="329" t="s">
        <v>523</v>
      </c>
      <c r="E34" s="319" t="s">
        <v>556</v>
      </c>
      <c r="F34" s="333">
        <v>2.6</v>
      </c>
      <c r="G34" s="319">
        <v>2</v>
      </c>
      <c r="H34" s="319">
        <v>2</v>
      </c>
      <c r="I34" s="265"/>
      <c r="J34" s="266"/>
      <c r="K34" s="267"/>
      <c r="L34" s="263">
        <f t="shared" si="1"/>
        <v>0</v>
      </c>
      <c r="M34" s="314">
        <f>F34</f>
        <v>2.6</v>
      </c>
      <c r="N34" s="261">
        <f>G34</f>
        <v>2</v>
      </c>
      <c r="O34" s="262">
        <f>H34</f>
        <v>2</v>
      </c>
      <c r="P34" s="263">
        <f t="shared" si="2"/>
        <v>5.2</v>
      </c>
      <c r="R34" s="312" t="s">
        <v>77</v>
      </c>
      <c r="S34" s="312">
        <v>0.4</v>
      </c>
    </row>
    <row r="35" spans="1:19" s="184" customFormat="1" ht="34.5" customHeight="1">
      <c r="A35" s="327">
        <v>28</v>
      </c>
      <c r="B35" s="332" t="s">
        <v>549</v>
      </c>
      <c r="C35" s="324" t="s">
        <v>518</v>
      </c>
      <c r="D35" s="329" t="s">
        <v>524</v>
      </c>
      <c r="E35" s="319" t="s">
        <v>556</v>
      </c>
      <c r="F35" s="333">
        <v>0.25</v>
      </c>
      <c r="G35" s="319">
        <v>1</v>
      </c>
      <c r="H35" s="319">
        <v>1</v>
      </c>
      <c r="I35" s="314">
        <f>F35</f>
        <v>0.25</v>
      </c>
      <c r="J35" s="261">
        <f>G35</f>
        <v>1</v>
      </c>
      <c r="K35" s="262">
        <f>H35</f>
        <v>1</v>
      </c>
      <c r="L35" s="263">
        <f t="shared" si="1"/>
        <v>0.25</v>
      </c>
      <c r="M35" s="314"/>
      <c r="N35" s="261"/>
      <c r="O35" s="262"/>
      <c r="P35" s="263">
        <f t="shared" si="2"/>
        <v>0</v>
      </c>
      <c r="R35" s="312" t="s">
        <v>77</v>
      </c>
      <c r="S35" s="312">
        <v>10</v>
      </c>
    </row>
    <row r="36" spans="1:19" s="184" customFormat="1" ht="34.5" customHeight="1">
      <c r="A36" s="327">
        <v>29</v>
      </c>
      <c r="B36" s="332" t="s">
        <v>550</v>
      </c>
      <c r="C36" s="324" t="s">
        <v>518</v>
      </c>
      <c r="D36" s="329" t="s">
        <v>521</v>
      </c>
      <c r="E36" s="319" t="s">
        <v>556</v>
      </c>
      <c r="F36" s="333">
        <v>3</v>
      </c>
      <c r="G36" s="319">
        <v>30</v>
      </c>
      <c r="H36" s="319">
        <v>30</v>
      </c>
      <c r="I36" s="314">
        <f aca="true" t="shared" si="9" ref="I36:I42">F36</f>
        <v>3</v>
      </c>
      <c r="J36" s="261">
        <f aca="true" t="shared" si="10" ref="J36:J42">G36</f>
        <v>30</v>
      </c>
      <c r="K36" s="262">
        <f aca="true" t="shared" si="11" ref="K36:K42">H36</f>
        <v>30</v>
      </c>
      <c r="L36" s="263">
        <f t="shared" si="1"/>
        <v>90</v>
      </c>
      <c r="M36" s="314"/>
      <c r="N36" s="261"/>
      <c r="O36" s="262"/>
      <c r="P36" s="263">
        <f t="shared" si="2"/>
        <v>0</v>
      </c>
      <c r="R36" s="312" t="s">
        <v>77</v>
      </c>
      <c r="S36" s="312">
        <v>10</v>
      </c>
    </row>
    <row r="37" spans="1:19" s="184" customFormat="1" ht="34.5" customHeight="1">
      <c r="A37" s="327">
        <v>30</v>
      </c>
      <c r="B37" s="332" t="s">
        <v>551</v>
      </c>
      <c r="C37" s="324" t="s">
        <v>518</v>
      </c>
      <c r="D37" s="329" t="s">
        <v>524</v>
      </c>
      <c r="E37" s="319" t="s">
        <v>556</v>
      </c>
      <c r="F37" s="333">
        <v>0.8</v>
      </c>
      <c r="G37" s="319">
        <v>2</v>
      </c>
      <c r="H37" s="319">
        <v>2</v>
      </c>
      <c r="I37" s="314">
        <f t="shared" si="9"/>
        <v>0.8</v>
      </c>
      <c r="J37" s="261">
        <f t="shared" si="10"/>
        <v>2</v>
      </c>
      <c r="K37" s="262">
        <f t="shared" si="11"/>
        <v>2</v>
      </c>
      <c r="L37" s="263">
        <f t="shared" si="1"/>
        <v>1.6</v>
      </c>
      <c r="M37" s="314"/>
      <c r="N37" s="261"/>
      <c r="O37" s="262"/>
      <c r="P37" s="263">
        <f t="shared" si="2"/>
        <v>0</v>
      </c>
      <c r="R37" s="312" t="s">
        <v>77</v>
      </c>
      <c r="S37" s="312">
        <v>10</v>
      </c>
    </row>
    <row r="38" spans="1:19" s="184" customFormat="1" ht="34.5" customHeight="1">
      <c r="A38" s="327">
        <v>31</v>
      </c>
      <c r="B38" s="332" t="s">
        <v>539</v>
      </c>
      <c r="C38" s="324" t="s">
        <v>518</v>
      </c>
      <c r="D38" s="329" t="s">
        <v>525</v>
      </c>
      <c r="E38" s="319" t="s">
        <v>556</v>
      </c>
      <c r="F38" s="333">
        <v>3.2</v>
      </c>
      <c r="G38" s="319">
        <v>15</v>
      </c>
      <c r="H38" s="319">
        <v>15</v>
      </c>
      <c r="I38" s="314">
        <f t="shared" si="9"/>
        <v>3.2</v>
      </c>
      <c r="J38" s="261">
        <f t="shared" si="10"/>
        <v>15</v>
      </c>
      <c r="K38" s="262">
        <f t="shared" si="11"/>
        <v>15</v>
      </c>
      <c r="L38" s="263">
        <f t="shared" si="1"/>
        <v>48</v>
      </c>
      <c r="M38" s="314"/>
      <c r="N38" s="261"/>
      <c r="O38" s="262"/>
      <c r="P38" s="263">
        <f t="shared" si="2"/>
        <v>0</v>
      </c>
      <c r="R38" s="312" t="s">
        <v>77</v>
      </c>
      <c r="S38" s="312">
        <v>10</v>
      </c>
    </row>
    <row r="39" spans="1:19" s="184" customFormat="1" ht="34.5" customHeight="1">
      <c r="A39" s="327">
        <v>32</v>
      </c>
      <c r="B39" s="332" t="s">
        <v>552</v>
      </c>
      <c r="C39" s="324" t="s">
        <v>518</v>
      </c>
      <c r="D39" s="329" t="s">
        <v>526</v>
      </c>
      <c r="E39" s="319" t="s">
        <v>556</v>
      </c>
      <c r="F39" s="333">
        <v>1.25</v>
      </c>
      <c r="G39" s="319">
        <v>2</v>
      </c>
      <c r="H39" s="319">
        <v>2</v>
      </c>
      <c r="I39" s="314">
        <f t="shared" si="9"/>
        <v>1.25</v>
      </c>
      <c r="J39" s="261">
        <f t="shared" si="10"/>
        <v>2</v>
      </c>
      <c r="K39" s="262">
        <f t="shared" si="11"/>
        <v>2</v>
      </c>
      <c r="L39" s="263">
        <f t="shared" si="1"/>
        <v>2.5</v>
      </c>
      <c r="M39" s="314"/>
      <c r="N39" s="261"/>
      <c r="O39" s="262"/>
      <c r="P39" s="263">
        <f t="shared" si="2"/>
        <v>0</v>
      </c>
      <c r="R39" s="312" t="s">
        <v>76</v>
      </c>
      <c r="S39" s="312">
        <v>10</v>
      </c>
    </row>
    <row r="40" spans="1:19" s="184" customFormat="1" ht="34.5" customHeight="1">
      <c r="A40" s="327">
        <v>33</v>
      </c>
      <c r="B40" s="332" t="s">
        <v>553</v>
      </c>
      <c r="C40" s="324" t="s">
        <v>518</v>
      </c>
      <c r="D40" s="329" t="s">
        <v>527</v>
      </c>
      <c r="E40" s="319" t="s">
        <v>556</v>
      </c>
      <c r="F40" s="333">
        <v>1</v>
      </c>
      <c r="G40" s="319">
        <v>5</v>
      </c>
      <c r="H40" s="319">
        <v>5</v>
      </c>
      <c r="I40" s="314">
        <f t="shared" si="9"/>
        <v>1</v>
      </c>
      <c r="J40" s="261">
        <f t="shared" si="10"/>
        <v>5</v>
      </c>
      <c r="K40" s="262">
        <f t="shared" si="11"/>
        <v>5</v>
      </c>
      <c r="L40" s="263">
        <f t="shared" si="1"/>
        <v>5</v>
      </c>
      <c r="M40" s="314"/>
      <c r="N40" s="261"/>
      <c r="O40" s="262"/>
      <c r="P40" s="263">
        <f t="shared" si="2"/>
        <v>0</v>
      </c>
      <c r="R40" s="312" t="s">
        <v>563</v>
      </c>
      <c r="S40" s="312">
        <v>10</v>
      </c>
    </row>
    <row r="41" spans="1:19" s="184" customFormat="1" ht="34.5" customHeight="1">
      <c r="A41" s="327">
        <v>34</v>
      </c>
      <c r="B41" s="332" t="s">
        <v>554</v>
      </c>
      <c r="C41" s="324" t="s">
        <v>518</v>
      </c>
      <c r="D41" s="329" t="s">
        <v>521</v>
      </c>
      <c r="E41" s="319" t="s">
        <v>556</v>
      </c>
      <c r="F41" s="333">
        <v>3.25</v>
      </c>
      <c r="G41" s="319">
        <v>30</v>
      </c>
      <c r="H41" s="319">
        <v>30</v>
      </c>
      <c r="I41" s="314">
        <f t="shared" si="9"/>
        <v>3.25</v>
      </c>
      <c r="J41" s="261">
        <f t="shared" si="10"/>
        <v>30</v>
      </c>
      <c r="K41" s="262">
        <f t="shared" si="11"/>
        <v>30</v>
      </c>
      <c r="L41" s="263">
        <f t="shared" si="1"/>
        <v>97.5</v>
      </c>
      <c r="M41" s="314"/>
      <c r="N41" s="261"/>
      <c r="O41" s="262"/>
      <c r="P41" s="263">
        <f t="shared" si="2"/>
        <v>0</v>
      </c>
      <c r="R41" s="312" t="s">
        <v>77</v>
      </c>
      <c r="S41" s="312">
        <v>10</v>
      </c>
    </row>
    <row r="42" spans="1:19" s="184" customFormat="1" ht="34.5" customHeight="1">
      <c r="A42" s="327">
        <v>35</v>
      </c>
      <c r="B42" s="332" t="s">
        <v>555</v>
      </c>
      <c r="C42" s="324" t="s">
        <v>518</v>
      </c>
      <c r="D42" s="329" t="s">
        <v>521</v>
      </c>
      <c r="E42" s="319" t="s">
        <v>556</v>
      </c>
      <c r="F42" s="333">
        <v>2.25</v>
      </c>
      <c r="G42" s="319">
        <v>30</v>
      </c>
      <c r="H42" s="319">
        <v>30</v>
      </c>
      <c r="I42" s="314">
        <f t="shared" si="9"/>
        <v>2.25</v>
      </c>
      <c r="J42" s="261">
        <f t="shared" si="10"/>
        <v>30</v>
      </c>
      <c r="K42" s="262">
        <f t="shared" si="11"/>
        <v>30</v>
      </c>
      <c r="L42" s="263">
        <f t="shared" si="1"/>
        <v>67.5</v>
      </c>
      <c r="M42" s="260"/>
      <c r="N42" s="261"/>
      <c r="O42" s="262"/>
      <c r="P42" s="263">
        <f t="shared" si="2"/>
        <v>0</v>
      </c>
      <c r="R42" s="311" t="s">
        <v>77</v>
      </c>
      <c r="S42" s="311">
        <v>10</v>
      </c>
    </row>
    <row r="43" spans="1:20" s="184" customFormat="1" ht="34.5" customHeight="1">
      <c r="A43" s="287"/>
      <c r="B43" s="288"/>
      <c r="C43" s="289"/>
      <c r="D43" s="290" t="s">
        <v>258</v>
      </c>
      <c r="E43" s="291"/>
      <c r="F43" s="313">
        <f aca="true" t="shared" si="12" ref="F43:P43">SUM(F8:F42)</f>
        <v>139.34916666666666</v>
      </c>
      <c r="G43" s="292">
        <f t="shared" si="12"/>
        <v>1113</v>
      </c>
      <c r="H43" s="292">
        <f t="shared" si="12"/>
        <v>771</v>
      </c>
      <c r="I43" s="292">
        <f t="shared" si="12"/>
        <v>46.1661</v>
      </c>
      <c r="J43" s="293">
        <f t="shared" si="12"/>
        <v>1080</v>
      </c>
      <c r="K43" s="294">
        <f t="shared" si="12"/>
        <v>741</v>
      </c>
      <c r="L43" s="295">
        <f t="shared" si="12"/>
        <v>1601.9623000000001</v>
      </c>
      <c r="M43" s="296">
        <f t="shared" si="12"/>
        <v>93.18306666666665</v>
      </c>
      <c r="N43" s="297">
        <f t="shared" si="12"/>
        <v>33</v>
      </c>
      <c r="O43" s="298">
        <f t="shared" si="12"/>
        <v>30</v>
      </c>
      <c r="P43" s="295">
        <f t="shared" si="12"/>
        <v>174.11589999999998</v>
      </c>
      <c r="Q43" s="334">
        <f>I43+M43</f>
        <v>139.34916666666663</v>
      </c>
      <c r="R43" s="334">
        <f>J43+N43</f>
        <v>1113</v>
      </c>
      <c r="S43" s="334">
        <f>K43+O43</f>
        <v>771</v>
      </c>
      <c r="T43" s="334">
        <f>L43+P43</f>
        <v>1776.0782000000002</v>
      </c>
    </row>
    <row r="44" spans="1:19" s="184" customFormat="1" ht="22.5" customHeight="1">
      <c r="A44" s="273"/>
      <c r="B44" s="276"/>
      <c r="C44" s="254" t="s">
        <v>495</v>
      </c>
      <c r="D44" s="254"/>
      <c r="E44" s="258"/>
      <c r="F44" s="257"/>
      <c r="G44" s="259"/>
      <c r="H44" s="260"/>
      <c r="I44" s="260"/>
      <c r="J44" s="261"/>
      <c r="K44" s="262"/>
      <c r="L44" s="262"/>
      <c r="M44" s="260"/>
      <c r="N44" s="261"/>
      <c r="O44" s="262"/>
      <c r="P44" s="262"/>
      <c r="R44" s="320"/>
      <c r="S44" s="320"/>
    </row>
    <row r="45" spans="1:19" s="184" customFormat="1" ht="34.5" customHeight="1">
      <c r="A45" s="273"/>
      <c r="B45" s="276"/>
      <c r="C45" s="254" t="s">
        <v>156</v>
      </c>
      <c r="D45" s="254"/>
      <c r="E45" s="258"/>
      <c r="F45" s="257">
        <f aca="true" t="shared" si="13" ref="F45:N45">SUM(F8:F32)</f>
        <v>121.24916666666667</v>
      </c>
      <c r="G45" s="257">
        <f t="shared" si="13"/>
        <v>992</v>
      </c>
      <c r="H45" s="257">
        <f t="shared" si="13"/>
        <v>650</v>
      </c>
      <c r="I45" s="257">
        <f t="shared" si="13"/>
        <v>30.666099999999997</v>
      </c>
      <c r="J45" s="299">
        <f t="shared" si="13"/>
        <v>961</v>
      </c>
      <c r="K45" s="300">
        <f>SUM(K8:K32)</f>
        <v>622</v>
      </c>
      <c r="L45" s="300">
        <f>SUM(L8:L32)</f>
        <v>1287.6123000000002</v>
      </c>
      <c r="M45" s="257">
        <f t="shared" si="13"/>
        <v>90.58306666666665</v>
      </c>
      <c r="N45" s="299">
        <f t="shared" si="13"/>
        <v>31</v>
      </c>
      <c r="O45" s="300">
        <f>SUM(O8:O32)</f>
        <v>28</v>
      </c>
      <c r="P45" s="300">
        <f>SUM(P8:P32)</f>
        <v>168.9159</v>
      </c>
      <c r="R45" s="320"/>
      <c r="S45" s="320"/>
    </row>
    <row r="46" spans="1:19" s="184" customFormat="1" ht="34.5" customHeight="1">
      <c r="A46" s="273"/>
      <c r="B46" s="276"/>
      <c r="C46" s="254" t="s">
        <v>265</v>
      </c>
      <c r="D46" s="254"/>
      <c r="E46" s="258"/>
      <c r="F46" s="257">
        <f aca="true" t="shared" si="14" ref="F46:P46">SUM(F33:F42)</f>
        <v>18.1</v>
      </c>
      <c r="G46" s="257">
        <f t="shared" si="14"/>
        <v>121</v>
      </c>
      <c r="H46" s="257">
        <f t="shared" si="14"/>
        <v>121</v>
      </c>
      <c r="I46" s="257">
        <f t="shared" si="14"/>
        <v>15.5</v>
      </c>
      <c r="J46" s="299">
        <f t="shared" si="14"/>
        <v>119</v>
      </c>
      <c r="K46" s="300">
        <f t="shared" si="14"/>
        <v>119</v>
      </c>
      <c r="L46" s="300">
        <f t="shared" si="14"/>
        <v>314.35</v>
      </c>
      <c r="M46" s="257">
        <f t="shared" si="14"/>
        <v>2.6</v>
      </c>
      <c r="N46" s="299">
        <f t="shared" si="14"/>
        <v>2</v>
      </c>
      <c r="O46" s="300">
        <f t="shared" si="14"/>
        <v>2</v>
      </c>
      <c r="P46" s="300">
        <f t="shared" si="14"/>
        <v>5.2</v>
      </c>
      <c r="R46" s="320"/>
      <c r="S46" s="320"/>
    </row>
    <row r="47" spans="1:19" s="184" customFormat="1" ht="34.5" customHeight="1">
      <c r="A47" s="301"/>
      <c r="B47" s="302"/>
      <c r="C47" s="303"/>
      <c r="D47" s="303"/>
      <c r="E47" s="304"/>
      <c r="F47" s="305"/>
      <c r="G47" s="306"/>
      <c r="H47" s="306"/>
      <c r="Q47" s="321">
        <f>L43+P43</f>
        <v>1776.0782000000002</v>
      </c>
      <c r="R47" s="320"/>
      <c r="S47" s="320"/>
    </row>
    <row r="48" spans="1:19" s="184" customFormat="1" ht="34.5" customHeight="1">
      <c r="A48" s="546"/>
      <c r="B48" s="546"/>
      <c r="C48" s="546"/>
      <c r="D48" s="546"/>
      <c r="E48" s="546"/>
      <c r="F48" s="307"/>
      <c r="G48" s="307"/>
      <c r="H48" s="307"/>
      <c r="R48" s="320"/>
      <c r="S48" s="320"/>
    </row>
    <row r="49" spans="1:19" s="184" customFormat="1" ht="34.5" customHeight="1">
      <c r="A49" s="545"/>
      <c r="B49" s="545"/>
      <c r="C49" s="545"/>
      <c r="D49" s="545"/>
      <c r="E49" s="545"/>
      <c r="F49" s="305"/>
      <c r="G49" s="306"/>
      <c r="H49" s="306"/>
      <c r="R49" s="320"/>
      <c r="S49" s="320"/>
    </row>
    <row r="50" spans="1:19" s="184" customFormat="1" ht="34.5" customHeight="1">
      <c r="A50" s="301"/>
      <c r="B50" s="302"/>
      <c r="C50" s="303"/>
      <c r="D50" s="303"/>
      <c r="E50" s="304"/>
      <c r="F50" s="305"/>
      <c r="G50" s="306"/>
      <c r="H50" s="306"/>
      <c r="R50" s="320"/>
      <c r="S50" s="320"/>
    </row>
    <row r="51" spans="1:19" s="184" customFormat="1" ht="34.5" customHeight="1">
      <c r="A51" s="301"/>
      <c r="B51" s="302"/>
      <c r="C51" s="303"/>
      <c r="D51" s="303"/>
      <c r="E51" s="304"/>
      <c r="F51" s="305"/>
      <c r="G51" s="306"/>
      <c r="H51" s="306"/>
      <c r="R51" s="320"/>
      <c r="S51" s="320"/>
    </row>
    <row r="52" spans="1:19" s="184" customFormat="1" ht="34.5" customHeight="1">
      <c r="A52" s="301"/>
      <c r="B52" s="302"/>
      <c r="C52" s="303"/>
      <c r="D52" s="303"/>
      <c r="E52" s="304"/>
      <c r="F52" s="305"/>
      <c r="G52" s="306"/>
      <c r="H52" s="306"/>
      <c r="R52" s="320"/>
      <c r="S52" s="320"/>
    </row>
    <row r="53" spans="1:19" s="184" customFormat="1" ht="34.5" customHeight="1">
      <c r="A53" s="301"/>
      <c r="B53" s="302"/>
      <c r="C53" s="303"/>
      <c r="D53" s="303"/>
      <c r="E53" s="304"/>
      <c r="F53" s="305"/>
      <c r="G53" s="306"/>
      <c r="H53" s="306"/>
      <c r="R53" s="320"/>
      <c r="S53" s="320"/>
    </row>
    <row r="54" spans="1:19" s="184" customFormat="1" ht="34.5" customHeight="1">
      <c r="A54" s="301"/>
      <c r="B54" s="302"/>
      <c r="C54" s="303"/>
      <c r="D54" s="303"/>
      <c r="E54" s="304"/>
      <c r="F54" s="305"/>
      <c r="G54" s="306"/>
      <c r="H54" s="306"/>
      <c r="R54" s="320"/>
      <c r="S54" s="320"/>
    </row>
    <row r="55" spans="1:19" s="184" customFormat="1" ht="34.5" customHeight="1">
      <c r="A55" s="301"/>
      <c r="B55" s="302"/>
      <c r="C55" s="303"/>
      <c r="D55" s="303"/>
      <c r="E55" s="304"/>
      <c r="F55" s="305"/>
      <c r="G55" s="306"/>
      <c r="H55" s="306"/>
      <c r="R55" s="320"/>
      <c r="S55" s="320"/>
    </row>
    <row r="56" spans="1:19" s="184" customFormat="1" ht="34.5" customHeight="1">
      <c r="A56" s="301"/>
      <c r="B56" s="302"/>
      <c r="C56" s="303"/>
      <c r="D56" s="303"/>
      <c r="E56" s="304"/>
      <c r="F56" s="305"/>
      <c r="G56" s="306"/>
      <c r="H56" s="306"/>
      <c r="R56" s="320"/>
      <c r="S56" s="320"/>
    </row>
    <row r="57" spans="1:19" s="184" customFormat="1" ht="34.5" customHeight="1">
      <c r="A57" s="301"/>
      <c r="B57" s="302"/>
      <c r="C57" s="303"/>
      <c r="D57" s="303"/>
      <c r="E57" s="304"/>
      <c r="F57" s="305"/>
      <c r="G57" s="306"/>
      <c r="H57" s="306"/>
      <c r="R57" s="320"/>
      <c r="S57" s="320"/>
    </row>
    <row r="58" spans="1:19" s="184" customFormat="1" ht="34.5" customHeight="1">
      <c r="A58" s="301"/>
      <c r="B58" s="302"/>
      <c r="C58" s="303"/>
      <c r="D58" s="303"/>
      <c r="E58" s="304"/>
      <c r="F58" s="305"/>
      <c r="G58" s="306"/>
      <c r="H58" s="306"/>
      <c r="R58" s="320"/>
      <c r="S58" s="320"/>
    </row>
    <row r="59" spans="1:19" s="184" customFormat="1" ht="34.5" customHeight="1">
      <c r="A59" s="301"/>
      <c r="B59" s="302"/>
      <c r="C59" s="303"/>
      <c r="D59" s="303"/>
      <c r="E59" s="304"/>
      <c r="F59" s="305"/>
      <c r="G59" s="306"/>
      <c r="H59" s="306"/>
      <c r="R59" s="320"/>
      <c r="S59" s="320"/>
    </row>
    <row r="60" spans="1:19" s="184" customFormat="1" ht="34.5" customHeight="1">
      <c r="A60" s="301"/>
      <c r="B60" s="302"/>
      <c r="C60" s="303"/>
      <c r="D60" s="303"/>
      <c r="E60" s="304"/>
      <c r="F60" s="305"/>
      <c r="G60" s="306"/>
      <c r="H60" s="306"/>
      <c r="R60" s="320"/>
      <c r="S60" s="320"/>
    </row>
    <row r="61" spans="1:19" s="184" customFormat="1" ht="34.5" customHeight="1">
      <c r="A61" s="301"/>
      <c r="B61" s="302"/>
      <c r="C61" s="303"/>
      <c r="D61" s="303"/>
      <c r="E61" s="304"/>
      <c r="F61" s="305"/>
      <c r="G61" s="306"/>
      <c r="H61" s="306"/>
      <c r="R61" s="320"/>
      <c r="S61" s="320"/>
    </row>
    <row r="62" spans="1:19" s="184" customFormat="1" ht="34.5" customHeight="1">
      <c r="A62" s="301"/>
      <c r="B62" s="302"/>
      <c r="C62" s="303"/>
      <c r="D62" s="303"/>
      <c r="E62" s="304"/>
      <c r="F62" s="305"/>
      <c r="G62" s="306"/>
      <c r="H62" s="306"/>
      <c r="R62" s="320"/>
      <c r="S62" s="320"/>
    </row>
    <row r="63" spans="1:19" s="184" customFormat="1" ht="34.5" customHeight="1">
      <c r="A63" s="301"/>
      <c r="B63" s="302"/>
      <c r="C63" s="303"/>
      <c r="D63" s="303"/>
      <c r="E63" s="304"/>
      <c r="F63" s="305"/>
      <c r="G63" s="306"/>
      <c r="H63" s="306"/>
      <c r="R63" s="320"/>
      <c r="S63" s="320"/>
    </row>
    <row r="64" spans="1:8" s="184" customFormat="1" ht="34.5" customHeight="1">
      <c r="A64" s="301"/>
      <c r="B64" s="302"/>
      <c r="C64" s="303"/>
      <c r="D64" s="303"/>
      <c r="E64" s="304"/>
      <c r="F64" s="305"/>
      <c r="G64" s="306"/>
      <c r="H64" s="306"/>
    </row>
    <row r="65" spans="1:8" s="184" customFormat="1" ht="34.5" customHeight="1">
      <c r="A65" s="301"/>
      <c r="B65" s="302"/>
      <c r="C65" s="303"/>
      <c r="D65" s="303"/>
      <c r="E65" s="304"/>
      <c r="F65" s="305"/>
      <c r="G65" s="306"/>
      <c r="H65" s="306"/>
    </row>
    <row r="66" spans="1:8" s="184" customFormat="1" ht="34.5" customHeight="1">
      <c r="A66" s="301"/>
      <c r="B66" s="302"/>
      <c r="C66" s="303"/>
      <c r="D66" s="303"/>
      <c r="E66" s="304"/>
      <c r="F66" s="305"/>
      <c r="G66" s="306"/>
      <c r="H66" s="306"/>
    </row>
    <row r="67" spans="1:8" s="184" customFormat="1" ht="34.5" customHeight="1">
      <c r="A67" s="301"/>
      <c r="B67" s="302"/>
      <c r="C67" s="303"/>
      <c r="D67" s="303"/>
      <c r="E67" s="304"/>
      <c r="F67" s="305"/>
      <c r="G67" s="306"/>
      <c r="H67" s="306"/>
    </row>
    <row r="68" spans="1:8" s="184" customFormat="1" ht="34.5" customHeight="1">
      <c r="A68" s="301"/>
      <c r="B68" s="302"/>
      <c r="C68" s="303"/>
      <c r="D68" s="303"/>
      <c r="E68" s="304"/>
      <c r="F68" s="305"/>
      <c r="G68" s="306"/>
      <c r="H68" s="306"/>
    </row>
    <row r="69" spans="1:8" s="184" customFormat="1" ht="34.5" customHeight="1">
      <c r="A69" s="301"/>
      <c r="B69" s="302"/>
      <c r="C69" s="303"/>
      <c r="D69" s="303"/>
      <c r="E69" s="304"/>
      <c r="F69" s="305"/>
      <c r="G69" s="306"/>
      <c r="H69" s="306"/>
    </row>
    <row r="70" spans="1:8" s="184" customFormat="1" ht="34.5" customHeight="1">
      <c r="A70" s="301"/>
      <c r="B70" s="302"/>
      <c r="C70" s="303"/>
      <c r="D70" s="303"/>
      <c r="E70" s="304"/>
      <c r="F70" s="305"/>
      <c r="G70" s="306"/>
      <c r="H70" s="306"/>
    </row>
    <row r="71" spans="1:8" s="184" customFormat="1" ht="34.5" customHeight="1">
      <c r="A71" s="301"/>
      <c r="B71" s="302"/>
      <c r="C71" s="303"/>
      <c r="D71" s="303"/>
      <c r="E71" s="304"/>
      <c r="F71" s="305"/>
      <c r="G71" s="306"/>
      <c r="H71" s="306"/>
    </row>
    <row r="72" spans="1:8" s="184" customFormat="1" ht="34.5" customHeight="1">
      <c r="A72" s="301"/>
      <c r="B72" s="302"/>
      <c r="C72" s="303"/>
      <c r="D72" s="303"/>
      <c r="E72" s="304"/>
      <c r="F72" s="305"/>
      <c r="G72" s="306"/>
      <c r="H72" s="306"/>
    </row>
    <row r="73" spans="1:8" s="184" customFormat="1" ht="34.5" customHeight="1">
      <c r="A73" s="301"/>
      <c r="B73" s="302"/>
      <c r="C73" s="303"/>
      <c r="D73" s="303"/>
      <c r="E73" s="304"/>
      <c r="F73" s="305"/>
      <c r="G73" s="306"/>
      <c r="H73" s="306"/>
    </row>
    <row r="74" spans="1:8" s="184" customFormat="1" ht="34.5" customHeight="1">
      <c r="A74" s="301"/>
      <c r="B74" s="302"/>
      <c r="C74" s="303"/>
      <c r="D74" s="303"/>
      <c r="E74" s="304"/>
      <c r="F74" s="305"/>
      <c r="G74" s="306"/>
      <c r="H74" s="306"/>
    </row>
    <row r="75" spans="1:8" s="184" customFormat="1" ht="34.5" customHeight="1">
      <c r="A75" s="301"/>
      <c r="B75" s="302"/>
      <c r="C75" s="303"/>
      <c r="D75" s="303"/>
      <c r="E75" s="304"/>
      <c r="F75" s="305"/>
      <c r="G75" s="306"/>
      <c r="H75" s="306"/>
    </row>
    <row r="76" spans="1:8" s="184" customFormat="1" ht="34.5" customHeight="1">
      <c r="A76" s="301"/>
      <c r="B76" s="302"/>
      <c r="C76" s="303"/>
      <c r="D76" s="303"/>
      <c r="E76" s="304"/>
      <c r="F76" s="305"/>
      <c r="G76" s="306"/>
      <c r="H76" s="306"/>
    </row>
    <row r="77" spans="1:8" s="184" customFormat="1" ht="34.5" customHeight="1">
      <c r="A77" s="301"/>
      <c r="B77" s="302"/>
      <c r="C77" s="303"/>
      <c r="D77" s="303"/>
      <c r="E77" s="304"/>
      <c r="F77" s="305"/>
      <c r="G77" s="306"/>
      <c r="H77" s="306"/>
    </row>
    <row r="78" spans="1:8" s="184" customFormat="1" ht="34.5" customHeight="1">
      <c r="A78" s="301"/>
      <c r="B78" s="302"/>
      <c r="C78" s="303"/>
      <c r="D78" s="303"/>
      <c r="E78" s="304"/>
      <c r="F78" s="305"/>
      <c r="G78" s="306"/>
      <c r="H78" s="306"/>
    </row>
    <row r="79" spans="1:8" s="184" customFormat="1" ht="34.5" customHeight="1">
      <c r="A79" s="301"/>
      <c r="B79" s="302"/>
      <c r="C79" s="303"/>
      <c r="D79" s="303"/>
      <c r="E79" s="304"/>
      <c r="F79" s="305"/>
      <c r="G79" s="306"/>
      <c r="H79" s="306"/>
    </row>
    <row r="80" spans="1:8" s="184" customFormat="1" ht="34.5" customHeight="1">
      <c r="A80" s="301"/>
      <c r="B80" s="302"/>
      <c r="C80" s="303"/>
      <c r="D80" s="303"/>
      <c r="E80" s="304"/>
      <c r="F80" s="305"/>
      <c r="G80" s="306"/>
      <c r="H80" s="306"/>
    </row>
    <row r="81" spans="1:8" s="184" customFormat="1" ht="34.5" customHeight="1">
      <c r="A81" s="301"/>
      <c r="B81" s="302"/>
      <c r="C81" s="303"/>
      <c r="D81" s="303"/>
      <c r="E81" s="304"/>
      <c r="F81" s="305"/>
      <c r="G81" s="306"/>
      <c r="H81" s="306"/>
    </row>
    <row r="82" spans="1:8" s="184" customFormat="1" ht="34.5" customHeight="1">
      <c r="A82" s="301"/>
      <c r="B82" s="302"/>
      <c r="C82" s="303"/>
      <c r="D82" s="303"/>
      <c r="E82" s="304"/>
      <c r="F82" s="305"/>
      <c r="G82" s="306"/>
      <c r="H82" s="306"/>
    </row>
    <row r="83" spans="1:8" s="184" customFormat="1" ht="34.5" customHeight="1">
      <c r="A83" s="301"/>
      <c r="B83" s="302"/>
      <c r="C83" s="303"/>
      <c r="D83" s="303"/>
      <c r="E83" s="304"/>
      <c r="F83" s="305"/>
      <c r="G83" s="306"/>
      <c r="H83" s="306"/>
    </row>
    <row r="84" spans="1:8" s="184" customFormat="1" ht="34.5" customHeight="1">
      <c r="A84" s="301"/>
      <c r="B84" s="302"/>
      <c r="C84" s="303"/>
      <c r="D84" s="303"/>
      <c r="E84" s="304"/>
      <c r="F84" s="305"/>
      <c r="G84" s="306"/>
      <c r="H84" s="306"/>
    </row>
    <row r="85" spans="1:8" s="184" customFormat="1" ht="34.5" customHeight="1">
      <c r="A85" s="301"/>
      <c r="B85" s="302"/>
      <c r="C85" s="303"/>
      <c r="D85" s="303"/>
      <c r="E85" s="304"/>
      <c r="F85" s="305"/>
      <c r="G85" s="306"/>
      <c r="H85" s="306"/>
    </row>
    <row r="86" spans="1:8" s="184" customFormat="1" ht="34.5" customHeight="1">
      <c r="A86" s="301"/>
      <c r="B86" s="302"/>
      <c r="C86" s="303"/>
      <c r="D86" s="303"/>
      <c r="E86" s="304"/>
      <c r="F86" s="305"/>
      <c r="G86" s="306"/>
      <c r="H86" s="306"/>
    </row>
    <row r="87" spans="1:8" s="184" customFormat="1" ht="34.5" customHeight="1">
      <c r="A87" s="301"/>
      <c r="B87" s="302"/>
      <c r="C87" s="303"/>
      <c r="D87" s="303"/>
      <c r="E87" s="304"/>
      <c r="F87" s="305"/>
      <c r="G87" s="306"/>
      <c r="H87" s="306"/>
    </row>
    <row r="88" spans="1:8" s="184" customFormat="1" ht="34.5" customHeight="1">
      <c r="A88" s="301"/>
      <c r="B88" s="302"/>
      <c r="C88" s="303"/>
      <c r="D88" s="303"/>
      <c r="E88" s="304"/>
      <c r="F88" s="305"/>
      <c r="G88" s="306"/>
      <c r="H88" s="306"/>
    </row>
    <row r="89" spans="1:8" s="184" customFormat="1" ht="34.5" customHeight="1">
      <c r="A89" s="301"/>
      <c r="B89" s="302"/>
      <c r="C89" s="303"/>
      <c r="D89" s="303"/>
      <c r="E89" s="304"/>
      <c r="F89" s="305"/>
      <c r="G89" s="306"/>
      <c r="H89" s="306"/>
    </row>
    <row r="90" spans="1:8" s="184" customFormat="1" ht="34.5" customHeight="1">
      <c r="A90" s="301"/>
      <c r="B90" s="302"/>
      <c r="C90" s="303"/>
      <c r="D90" s="303"/>
      <c r="E90" s="304"/>
      <c r="F90" s="305"/>
      <c r="G90" s="306"/>
      <c r="H90" s="306"/>
    </row>
    <row r="91" spans="1:8" s="184" customFormat="1" ht="34.5" customHeight="1">
      <c r="A91" s="301"/>
      <c r="B91" s="302"/>
      <c r="C91" s="303"/>
      <c r="D91" s="303"/>
      <c r="E91" s="304"/>
      <c r="F91" s="305"/>
      <c r="G91" s="306"/>
      <c r="H91" s="306"/>
    </row>
    <row r="92" spans="1:8" s="184" customFormat="1" ht="34.5" customHeight="1">
      <c r="A92" s="301"/>
      <c r="B92" s="302"/>
      <c r="C92" s="303"/>
      <c r="D92" s="303"/>
      <c r="E92" s="304"/>
      <c r="F92" s="305"/>
      <c r="G92" s="306"/>
      <c r="H92" s="306"/>
    </row>
    <row r="93" spans="1:8" s="184" customFormat="1" ht="34.5" customHeight="1">
      <c r="A93" s="301"/>
      <c r="B93" s="302"/>
      <c r="C93" s="303"/>
      <c r="D93" s="303"/>
      <c r="E93" s="304"/>
      <c r="F93" s="305"/>
      <c r="G93" s="306"/>
      <c r="H93" s="306"/>
    </row>
    <row r="94" spans="1:8" s="184" customFormat="1" ht="34.5" customHeight="1">
      <c r="A94" s="301"/>
      <c r="B94" s="302"/>
      <c r="C94" s="303"/>
      <c r="D94" s="303"/>
      <c r="E94" s="304"/>
      <c r="F94" s="305"/>
      <c r="G94" s="306"/>
      <c r="H94" s="306"/>
    </row>
    <row r="95" spans="1:8" s="184" customFormat="1" ht="34.5" customHeight="1">
      <c r="A95" s="301"/>
      <c r="B95" s="302"/>
      <c r="C95" s="303"/>
      <c r="D95" s="303"/>
      <c r="E95" s="304"/>
      <c r="F95" s="305"/>
      <c r="G95" s="306"/>
      <c r="H95" s="306"/>
    </row>
    <row r="96" spans="1:8" s="184" customFormat="1" ht="34.5" customHeight="1">
      <c r="A96" s="301"/>
      <c r="B96" s="302"/>
      <c r="C96" s="303"/>
      <c r="D96" s="303"/>
      <c r="E96" s="304"/>
      <c r="F96" s="305"/>
      <c r="G96" s="306"/>
      <c r="H96" s="306"/>
    </row>
    <row r="97" spans="1:8" s="184" customFormat="1" ht="34.5" customHeight="1">
      <c r="A97" s="301"/>
      <c r="B97" s="302"/>
      <c r="C97" s="303"/>
      <c r="D97" s="303"/>
      <c r="E97" s="304"/>
      <c r="F97" s="305"/>
      <c r="G97" s="306"/>
      <c r="H97" s="306"/>
    </row>
    <row r="98" spans="1:8" s="184" customFormat="1" ht="34.5" customHeight="1">
      <c r="A98" s="301"/>
      <c r="B98" s="302"/>
      <c r="C98" s="303"/>
      <c r="D98" s="303"/>
      <c r="E98" s="304"/>
      <c r="F98" s="305"/>
      <c r="G98" s="306"/>
      <c r="H98" s="306"/>
    </row>
    <row r="99" spans="1:8" s="184" customFormat="1" ht="34.5" customHeight="1">
      <c r="A99" s="301"/>
      <c r="B99" s="302"/>
      <c r="C99" s="303"/>
      <c r="D99" s="303"/>
      <c r="E99" s="304"/>
      <c r="F99" s="305"/>
      <c r="G99" s="306"/>
      <c r="H99" s="306"/>
    </row>
    <row r="100" spans="1:8" s="184" customFormat="1" ht="34.5" customHeight="1">
      <c r="A100" s="301"/>
      <c r="B100" s="302"/>
      <c r="C100" s="303"/>
      <c r="D100" s="303"/>
      <c r="E100" s="304"/>
      <c r="F100" s="305"/>
      <c r="G100" s="306"/>
      <c r="H100" s="306"/>
    </row>
    <row r="101" spans="1:8" s="184" customFormat="1" ht="34.5" customHeight="1">
      <c r="A101" s="301"/>
      <c r="B101" s="302"/>
      <c r="C101" s="303"/>
      <c r="D101" s="303"/>
      <c r="E101" s="304"/>
      <c r="F101" s="305"/>
      <c r="G101" s="306"/>
      <c r="H101" s="306"/>
    </row>
    <row r="102" spans="1:8" s="184" customFormat="1" ht="34.5" customHeight="1">
      <c r="A102" s="301"/>
      <c r="B102" s="302"/>
      <c r="C102" s="303"/>
      <c r="D102" s="303"/>
      <c r="E102" s="304"/>
      <c r="F102" s="305"/>
      <c r="G102" s="306"/>
      <c r="H102" s="306"/>
    </row>
    <row r="103" spans="1:8" s="184" customFormat="1" ht="34.5" customHeight="1">
      <c r="A103" s="301"/>
      <c r="B103" s="302"/>
      <c r="C103" s="303"/>
      <c r="D103" s="303"/>
      <c r="E103" s="304"/>
      <c r="F103" s="305"/>
      <c r="G103" s="306"/>
      <c r="H103" s="306"/>
    </row>
    <row r="104" spans="1:8" s="184" customFormat="1" ht="34.5" customHeight="1">
      <c r="A104" s="301"/>
      <c r="B104" s="302"/>
      <c r="C104" s="303"/>
      <c r="D104" s="303"/>
      <c r="E104" s="304"/>
      <c r="F104" s="305"/>
      <c r="G104" s="306"/>
      <c r="H104" s="306"/>
    </row>
    <row r="105" spans="1:8" s="184" customFormat="1" ht="34.5" customHeight="1">
      <c r="A105" s="301"/>
      <c r="B105" s="302"/>
      <c r="C105" s="303"/>
      <c r="D105" s="303"/>
      <c r="E105" s="304"/>
      <c r="F105" s="305"/>
      <c r="G105" s="306"/>
      <c r="H105" s="306"/>
    </row>
    <row r="106" spans="1:8" s="184" customFormat="1" ht="34.5" customHeight="1">
      <c r="A106" s="301"/>
      <c r="B106" s="302"/>
      <c r="C106" s="303"/>
      <c r="D106" s="303"/>
      <c r="E106" s="304"/>
      <c r="F106" s="305"/>
      <c r="G106" s="306"/>
      <c r="H106" s="306"/>
    </row>
    <row r="107" spans="1:8" s="184" customFormat="1" ht="34.5" customHeight="1">
      <c r="A107" s="301"/>
      <c r="B107" s="302"/>
      <c r="C107" s="303"/>
      <c r="D107" s="303"/>
      <c r="E107" s="304"/>
      <c r="F107" s="305"/>
      <c r="G107" s="306"/>
      <c r="H107" s="306"/>
    </row>
    <row r="108" spans="1:8" s="184" customFormat="1" ht="34.5" customHeight="1">
      <c r="A108" s="301"/>
      <c r="B108" s="302"/>
      <c r="C108" s="303"/>
      <c r="D108" s="303"/>
      <c r="E108" s="304"/>
      <c r="F108" s="305"/>
      <c r="G108" s="306"/>
      <c r="H108" s="306"/>
    </row>
    <row r="109" spans="1:8" s="184" customFormat="1" ht="34.5" customHeight="1">
      <c r="A109" s="301"/>
      <c r="B109" s="302"/>
      <c r="C109" s="303"/>
      <c r="D109" s="303"/>
      <c r="E109" s="304"/>
      <c r="F109" s="305"/>
      <c r="G109" s="306"/>
      <c r="H109" s="306"/>
    </row>
    <row r="110" spans="1:8" s="184" customFormat="1" ht="34.5" customHeight="1">
      <c r="A110" s="301"/>
      <c r="B110" s="302"/>
      <c r="C110" s="303"/>
      <c r="D110" s="303"/>
      <c r="E110" s="304"/>
      <c r="F110" s="305"/>
      <c r="G110" s="306"/>
      <c r="H110" s="306"/>
    </row>
    <row r="111" spans="1:8" s="184" customFormat="1" ht="34.5" customHeight="1">
      <c r="A111" s="301"/>
      <c r="B111" s="302"/>
      <c r="C111" s="303"/>
      <c r="D111" s="303"/>
      <c r="E111" s="304"/>
      <c r="F111" s="305"/>
      <c r="G111" s="306"/>
      <c r="H111" s="306"/>
    </row>
    <row r="112" spans="1:8" s="184" customFormat="1" ht="34.5" customHeight="1">
      <c r="A112" s="301"/>
      <c r="B112" s="302"/>
      <c r="C112" s="303"/>
      <c r="D112" s="303"/>
      <c r="E112" s="304"/>
      <c r="F112" s="305"/>
      <c r="G112" s="306"/>
      <c r="H112" s="306"/>
    </row>
    <row r="113" spans="1:8" s="184" customFormat="1" ht="34.5" customHeight="1">
      <c r="A113" s="301"/>
      <c r="B113" s="302"/>
      <c r="C113" s="303"/>
      <c r="D113" s="303"/>
      <c r="E113" s="304"/>
      <c r="F113" s="305"/>
      <c r="G113" s="306"/>
      <c r="H113" s="306"/>
    </row>
    <row r="114" spans="1:8" s="184" customFormat="1" ht="34.5" customHeight="1">
      <c r="A114" s="301"/>
      <c r="B114" s="302"/>
      <c r="C114" s="303"/>
      <c r="D114" s="303"/>
      <c r="E114" s="304"/>
      <c r="F114" s="305"/>
      <c r="G114" s="306"/>
      <c r="H114" s="306"/>
    </row>
    <row r="115" spans="1:8" s="184" customFormat="1" ht="34.5" customHeight="1">
      <c r="A115" s="301"/>
      <c r="B115" s="302"/>
      <c r="C115" s="303"/>
      <c r="D115" s="303"/>
      <c r="E115" s="304"/>
      <c r="F115" s="305"/>
      <c r="G115" s="306"/>
      <c r="H115" s="306"/>
    </row>
    <row r="116" spans="1:8" s="184" customFormat="1" ht="34.5" customHeight="1">
      <c r="A116" s="301"/>
      <c r="B116" s="302"/>
      <c r="C116" s="303"/>
      <c r="D116" s="303"/>
      <c r="E116" s="304"/>
      <c r="F116" s="305"/>
      <c r="G116" s="306"/>
      <c r="H116" s="306"/>
    </row>
    <row r="117" spans="1:8" s="184" customFormat="1" ht="34.5" customHeight="1">
      <c r="A117" s="301"/>
      <c r="B117" s="302"/>
      <c r="C117" s="303"/>
      <c r="D117" s="303"/>
      <c r="E117" s="304"/>
      <c r="F117" s="305"/>
      <c r="G117" s="306"/>
      <c r="H117" s="306"/>
    </row>
    <row r="118" spans="1:8" s="184" customFormat="1" ht="34.5" customHeight="1">
      <c r="A118" s="301"/>
      <c r="B118" s="302"/>
      <c r="C118" s="303"/>
      <c r="D118" s="303"/>
      <c r="E118" s="304"/>
      <c r="F118" s="305"/>
      <c r="G118" s="306"/>
      <c r="H118" s="306"/>
    </row>
    <row r="119" spans="1:8" s="184" customFormat="1" ht="34.5" customHeight="1">
      <c r="A119" s="301"/>
      <c r="B119" s="302"/>
      <c r="C119" s="303"/>
      <c r="D119" s="303"/>
      <c r="E119" s="304"/>
      <c r="F119" s="305"/>
      <c r="G119" s="306"/>
      <c r="H119" s="306"/>
    </row>
    <row r="120" spans="1:8" s="184" customFormat="1" ht="34.5" customHeight="1">
      <c r="A120" s="301"/>
      <c r="B120" s="302"/>
      <c r="C120" s="303"/>
      <c r="D120" s="303"/>
      <c r="E120" s="304"/>
      <c r="F120" s="305"/>
      <c r="G120" s="306"/>
      <c r="H120" s="306"/>
    </row>
    <row r="121" spans="1:8" s="184" customFormat="1" ht="34.5" customHeight="1">
      <c r="A121" s="301"/>
      <c r="B121" s="302"/>
      <c r="C121" s="303"/>
      <c r="D121" s="303"/>
      <c r="E121" s="304"/>
      <c r="F121" s="305"/>
      <c r="G121" s="306"/>
      <c r="H121" s="306"/>
    </row>
    <row r="122" s="184" customFormat="1" ht="19.5" customHeight="1"/>
    <row r="123" spans="1:8" s="184" customFormat="1" ht="15.75">
      <c r="A123" s="308" t="s">
        <v>496</v>
      </c>
      <c r="B123" s="308"/>
      <c r="C123" s="308"/>
      <c r="D123" s="251"/>
      <c r="E123" s="251"/>
      <c r="F123" s="251"/>
      <c r="G123" s="251"/>
      <c r="H123" s="251"/>
    </row>
    <row r="124" spans="1:8" s="184" customFormat="1" ht="15">
      <c r="A124" s="309" t="s">
        <v>497</v>
      </c>
      <c r="B124" s="309"/>
      <c r="C124" s="309"/>
      <c r="D124" s="251"/>
      <c r="E124" s="251"/>
      <c r="F124" s="251"/>
      <c r="G124" s="251"/>
      <c r="H124" s="251"/>
    </row>
    <row r="125" spans="1:8" s="184" customFormat="1" ht="15">
      <c r="A125" s="251"/>
      <c r="B125" s="251"/>
      <c r="C125" s="251"/>
      <c r="D125" s="251"/>
      <c r="E125" s="251"/>
      <c r="F125" s="251"/>
      <c r="G125" s="251"/>
      <c r="H125" s="251"/>
    </row>
    <row r="126" spans="1:8" s="184" customFormat="1" ht="15">
      <c r="A126" s="251"/>
      <c r="B126" s="251"/>
      <c r="C126" s="251"/>
      <c r="D126" s="251"/>
      <c r="E126" s="251"/>
      <c r="F126" s="251"/>
      <c r="G126" s="251"/>
      <c r="H126" s="251"/>
    </row>
    <row r="127" spans="1:8" s="184" customFormat="1" ht="15">
      <c r="A127" s="251"/>
      <c r="B127" s="251"/>
      <c r="C127" s="251"/>
      <c r="D127" s="251"/>
      <c r="E127" s="251"/>
      <c r="F127" s="251"/>
      <c r="G127" s="251"/>
      <c r="H127" s="251"/>
    </row>
    <row r="128" s="184" customFormat="1" ht="15"/>
  </sheetData>
  <sheetProtection/>
  <mergeCells count="14">
    <mergeCell ref="A1:G1"/>
    <mergeCell ref="A2:G2"/>
    <mergeCell ref="A4:A6"/>
    <mergeCell ref="B4:B6"/>
    <mergeCell ref="C4:D6"/>
    <mergeCell ref="E4:E6"/>
    <mergeCell ref="F4:F6"/>
    <mergeCell ref="G4:G6"/>
    <mergeCell ref="H4:H6"/>
    <mergeCell ref="I4:P4"/>
    <mergeCell ref="I5:L5"/>
    <mergeCell ref="M5:P5"/>
    <mergeCell ref="A49:E49"/>
    <mergeCell ref="A48:E48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E1"/>
    </sheetView>
  </sheetViews>
  <sheetFormatPr defaultColWidth="9.140625" defaultRowHeight="15"/>
  <cols>
    <col min="1" max="1" width="7.57421875" style="0" customWidth="1"/>
    <col min="2" max="2" width="72.421875" style="0" customWidth="1"/>
    <col min="3" max="3" width="13.140625" style="0" customWidth="1"/>
    <col min="4" max="4" width="12.7109375" style="0" customWidth="1"/>
    <col min="5" max="5" width="12.8515625" style="0" customWidth="1"/>
    <col min="6" max="6" width="13.28125" style="0" customWidth="1"/>
    <col min="7" max="7" width="11.28125" style="0" customWidth="1"/>
    <col min="8" max="8" width="12.7109375" style="0" customWidth="1"/>
    <col min="9" max="10" width="12.140625" style="0" customWidth="1"/>
    <col min="11" max="11" width="11.57421875" style="0" customWidth="1"/>
    <col min="15" max="15" width="9.8515625" style="0" bestFit="1" customWidth="1"/>
  </cols>
  <sheetData>
    <row r="1" spans="1:5" ht="39" customHeight="1">
      <c r="A1" s="451" t="s">
        <v>58</v>
      </c>
      <c r="B1" s="451"/>
      <c r="C1" s="451"/>
      <c r="D1" s="451"/>
      <c r="E1" s="451"/>
    </row>
    <row r="2" spans="1:10" ht="66" customHeight="1">
      <c r="A2" s="452" t="s">
        <v>9</v>
      </c>
      <c r="B2" s="452"/>
      <c r="C2" s="452"/>
      <c r="D2" s="452"/>
      <c r="E2" s="452"/>
      <c r="G2" s="162"/>
      <c r="I2" s="162"/>
      <c r="J2" s="162"/>
    </row>
    <row r="3" spans="1:9" ht="15">
      <c r="A3" s="2"/>
      <c r="C3" s="162"/>
      <c r="D3" s="162"/>
      <c r="F3" s="162"/>
      <c r="I3" s="162"/>
    </row>
    <row r="4" spans="1:11" ht="26.25" customHeight="1">
      <c r="A4" s="450" t="s">
        <v>10</v>
      </c>
      <c r="B4" s="450" t="s">
        <v>11</v>
      </c>
      <c r="C4" s="449" t="s">
        <v>249</v>
      </c>
      <c r="D4" s="449"/>
      <c r="E4" s="449"/>
      <c r="F4" s="449" t="s">
        <v>263</v>
      </c>
      <c r="G4" s="449"/>
      <c r="H4" s="449"/>
      <c r="I4" s="449" t="s">
        <v>264</v>
      </c>
      <c r="J4" s="449"/>
      <c r="K4" s="449"/>
    </row>
    <row r="5" spans="1:11" ht="15">
      <c r="A5" s="450"/>
      <c r="B5" s="450"/>
      <c r="C5" s="450" t="s">
        <v>12</v>
      </c>
      <c r="D5" s="450"/>
      <c r="E5" s="450"/>
      <c r="F5" s="450" t="s">
        <v>12</v>
      </c>
      <c r="G5" s="450"/>
      <c r="H5" s="450"/>
      <c r="I5" s="450" t="s">
        <v>12</v>
      </c>
      <c r="J5" s="450"/>
      <c r="K5" s="450"/>
    </row>
    <row r="6" spans="1:14" ht="66" customHeight="1">
      <c r="A6" s="450"/>
      <c r="B6" s="450"/>
      <c r="C6" s="223">
        <v>2014</v>
      </c>
      <c r="D6" s="235">
        <v>2015</v>
      </c>
      <c r="E6" s="35" t="s">
        <v>13</v>
      </c>
      <c r="F6" s="223">
        <v>2014</v>
      </c>
      <c r="G6" s="235">
        <v>2015</v>
      </c>
      <c r="H6" s="169" t="s">
        <v>13</v>
      </c>
      <c r="I6" s="223">
        <v>2014</v>
      </c>
      <c r="J6" s="235">
        <v>2015</v>
      </c>
      <c r="K6" s="35" t="s">
        <v>13</v>
      </c>
      <c r="N6" s="226"/>
    </row>
    <row r="7" spans="1:15" ht="15">
      <c r="A7" s="35">
        <v>1</v>
      </c>
      <c r="B7" s="35">
        <v>2</v>
      </c>
      <c r="C7" s="35">
        <v>3</v>
      </c>
      <c r="D7" s="236">
        <v>4</v>
      </c>
      <c r="E7" s="35">
        <v>5</v>
      </c>
      <c r="F7" s="35">
        <v>6</v>
      </c>
      <c r="G7" s="236">
        <v>7</v>
      </c>
      <c r="H7" s="35">
        <v>8</v>
      </c>
      <c r="I7" s="35">
        <v>9</v>
      </c>
      <c r="J7" s="236">
        <v>10</v>
      </c>
      <c r="K7" s="35">
        <v>11</v>
      </c>
      <c r="N7" t="s">
        <v>419</v>
      </c>
      <c r="O7" t="s">
        <v>420</v>
      </c>
    </row>
    <row r="8" spans="1:18" ht="36" customHeight="1">
      <c r="A8" s="9">
        <v>1</v>
      </c>
      <c r="B8" s="5" t="s">
        <v>31</v>
      </c>
      <c r="C8" s="224">
        <f>(1287.61+168.92)/704</f>
        <v>2.068934659090909</v>
      </c>
      <c r="D8" s="237">
        <f>(2555.78+53.08)/717</f>
        <v>3.638577405857741</v>
      </c>
      <c r="E8" s="225">
        <f>D8/C8*100</f>
        <v>175.8671976357404</v>
      </c>
      <c r="F8" s="224">
        <f>(314.35+5.2)/714</f>
        <v>0.44754901960784316</v>
      </c>
      <c r="G8" s="237">
        <f>(322.52+37)/777</f>
        <v>0.4627027027027027</v>
      </c>
      <c r="H8" s="225">
        <f>G8/F8*100</f>
        <v>103.38592700038483</v>
      </c>
      <c r="I8" s="224">
        <f>(1601.96+174.12)/1418</f>
        <v>1.2525246826516219</v>
      </c>
      <c r="J8" s="237">
        <f>(2878.3+90.08)/1494</f>
        <v>1.9868674698795181</v>
      </c>
      <c r="K8" s="225">
        <f>J8/I8*100</f>
        <v>158.6290072682062</v>
      </c>
      <c r="M8" s="228">
        <v>2015</v>
      </c>
      <c r="N8" s="229">
        <f>N9+N10+N11+N12</f>
        <v>717</v>
      </c>
      <c r="O8" s="229">
        <f>1+3+38+361+374</f>
        <v>777</v>
      </c>
      <c r="P8" s="228">
        <f aca="true" t="shared" si="0" ref="P8:P17">N8+O8</f>
        <v>1494</v>
      </c>
      <c r="Q8" s="230"/>
      <c r="R8" s="230"/>
    </row>
    <row r="9" spans="1:16" ht="24.75" customHeight="1">
      <c r="A9" s="3" t="s">
        <v>27</v>
      </c>
      <c r="B9" s="7" t="s">
        <v>14</v>
      </c>
      <c r="C9" s="6"/>
      <c r="D9" s="238"/>
      <c r="E9" s="6"/>
      <c r="F9" s="6"/>
      <c r="G9" s="238"/>
      <c r="H9" s="6"/>
      <c r="I9" s="6"/>
      <c r="J9" s="238"/>
      <c r="K9" s="6"/>
      <c r="M9" t="s">
        <v>21</v>
      </c>
      <c r="N9">
        <v>1</v>
      </c>
      <c r="O9">
        <v>1</v>
      </c>
      <c r="P9">
        <f t="shared" si="0"/>
        <v>2</v>
      </c>
    </row>
    <row r="10" spans="1:16" ht="24.75" customHeight="1">
      <c r="A10" s="3" t="s">
        <v>28</v>
      </c>
      <c r="B10" s="7" t="s">
        <v>15</v>
      </c>
      <c r="C10" s="6"/>
      <c r="D10" s="238"/>
      <c r="E10" s="6"/>
      <c r="F10" s="6"/>
      <c r="G10" s="238"/>
      <c r="H10" s="6"/>
      <c r="I10" s="6"/>
      <c r="J10" s="238"/>
      <c r="K10" s="6"/>
      <c r="M10" t="s">
        <v>22</v>
      </c>
      <c r="O10">
        <v>3</v>
      </c>
      <c r="P10">
        <f t="shared" si="0"/>
        <v>3</v>
      </c>
    </row>
    <row r="11" spans="1:16" ht="24.75" customHeight="1">
      <c r="A11" s="3" t="s">
        <v>29</v>
      </c>
      <c r="B11" s="7" t="s">
        <v>16</v>
      </c>
      <c r="C11" s="224">
        <f>1287.61/704</f>
        <v>1.8289914772727272</v>
      </c>
      <c r="D11" s="237">
        <f>2555.78/717</f>
        <v>3.5645467224546725</v>
      </c>
      <c r="E11" s="225">
        <f>D11/C11*100</f>
        <v>194.8913795798487</v>
      </c>
      <c r="F11" s="224">
        <f>314.35/714</f>
        <v>0.4402661064425771</v>
      </c>
      <c r="G11" s="237">
        <f>322.52/777</f>
        <v>0.4150836550836551</v>
      </c>
      <c r="H11" s="225">
        <f>G11/F11*100</f>
        <v>94.28017487823436</v>
      </c>
      <c r="I11" s="224">
        <f>1601.96/1418</f>
        <v>1.129732016925247</v>
      </c>
      <c r="J11" s="237">
        <f>2878.3/1494</f>
        <v>1.9265729585006695</v>
      </c>
      <c r="K11" s="225">
        <f>J11/I11*100</f>
        <v>170.53362475679475</v>
      </c>
      <c r="M11" t="s">
        <v>23</v>
      </c>
      <c r="N11">
        <v>83</v>
      </c>
      <c r="O11">
        <v>38</v>
      </c>
      <c r="P11">
        <f t="shared" si="0"/>
        <v>121</v>
      </c>
    </row>
    <row r="12" spans="1:16" ht="24.75" customHeight="1">
      <c r="A12" s="3" t="s">
        <v>30</v>
      </c>
      <c r="B12" s="7" t="s">
        <v>17</v>
      </c>
      <c r="C12" s="224">
        <f>168.92/704</f>
        <v>0.2399431818181818</v>
      </c>
      <c r="D12" s="237">
        <f>53.08/717</f>
        <v>0.07403068340306834</v>
      </c>
      <c r="E12" s="225">
        <f>D12/C12*100</f>
        <v>30.85342239862664</v>
      </c>
      <c r="F12" s="224">
        <f>5.2/714</f>
        <v>0.007282913165266107</v>
      </c>
      <c r="G12" s="237">
        <f>37/777</f>
        <v>0.047619047619047616</v>
      </c>
      <c r="H12" s="225">
        <f>G12/F12*100</f>
        <v>653.8461538461538</v>
      </c>
      <c r="I12" s="224">
        <f>174.12/1418</f>
        <v>0.12279266572637518</v>
      </c>
      <c r="J12" s="237">
        <f>90.08/1494</f>
        <v>0.060294511378848725</v>
      </c>
      <c r="K12" s="225">
        <f>J12/I12*100</f>
        <v>49.10269764254968</v>
      </c>
      <c r="M12" t="s">
        <v>24</v>
      </c>
      <c r="N12" s="226">
        <f>266+367</f>
        <v>633</v>
      </c>
      <c r="O12" s="227">
        <f>361+374</f>
        <v>735</v>
      </c>
      <c r="P12">
        <f t="shared" si="0"/>
        <v>1368</v>
      </c>
    </row>
    <row r="13" spans="1:18" ht="36" customHeight="1">
      <c r="A13" s="8">
        <v>2</v>
      </c>
      <c r="B13" s="5" t="s">
        <v>40</v>
      </c>
      <c r="C13" s="224">
        <f>650/704</f>
        <v>0.9232954545454546</v>
      </c>
      <c r="D13" s="237">
        <f>896/717</f>
        <v>1.2496513249651324</v>
      </c>
      <c r="E13" s="225">
        <f>D13/C13*100</f>
        <v>135.34685119622355</v>
      </c>
      <c r="F13" s="224">
        <f>121/714</f>
        <v>0.16946778711484595</v>
      </c>
      <c r="G13" s="237">
        <f>(280+9)/777</f>
        <v>0.37194337194337196</v>
      </c>
      <c r="H13" s="225">
        <f>G13/F13*100</f>
        <v>219.47732856823765</v>
      </c>
      <c r="I13" s="224">
        <f>771/1418</f>
        <v>0.5437235543018336</v>
      </c>
      <c r="J13" s="237">
        <f>1185/1494</f>
        <v>0.7931726907630522</v>
      </c>
      <c r="K13" s="225">
        <f>J13/I13*100</f>
        <v>145.8779345657598</v>
      </c>
      <c r="M13" s="228">
        <v>2014</v>
      </c>
      <c r="N13" s="228">
        <f>N14+N15+N16+N17</f>
        <v>704</v>
      </c>
      <c r="O13" s="228">
        <f>1+3+38+324+348</f>
        <v>714</v>
      </c>
      <c r="P13" s="228">
        <f t="shared" si="0"/>
        <v>1418</v>
      </c>
      <c r="Q13" s="230"/>
      <c r="R13" s="228">
        <v>1484</v>
      </c>
    </row>
    <row r="14" spans="1:16" ht="24.75" customHeight="1">
      <c r="A14" s="3" t="s">
        <v>32</v>
      </c>
      <c r="B14" s="7" t="s">
        <v>14</v>
      </c>
      <c r="C14" s="6"/>
      <c r="D14" s="238"/>
      <c r="E14" s="6"/>
      <c r="F14" s="6"/>
      <c r="G14" s="238"/>
      <c r="H14" s="6"/>
      <c r="I14" s="6"/>
      <c r="J14" s="238"/>
      <c r="K14" s="6"/>
      <c r="M14" t="s">
        <v>21</v>
      </c>
      <c r="N14">
        <v>1</v>
      </c>
      <c r="O14">
        <v>1</v>
      </c>
      <c r="P14">
        <f t="shared" si="0"/>
        <v>2</v>
      </c>
    </row>
    <row r="15" spans="1:18" ht="24.75" customHeight="1">
      <c r="A15" s="3" t="s">
        <v>33</v>
      </c>
      <c r="B15" s="7" t="s">
        <v>15</v>
      </c>
      <c r="C15" s="6"/>
      <c r="D15" s="238"/>
      <c r="E15" s="6"/>
      <c r="F15" s="6"/>
      <c r="G15" s="238"/>
      <c r="H15" s="6"/>
      <c r="I15" s="6"/>
      <c r="J15" s="238"/>
      <c r="K15" s="6"/>
      <c r="M15" t="s">
        <v>22</v>
      </c>
      <c r="O15">
        <v>3</v>
      </c>
      <c r="P15">
        <f t="shared" si="0"/>
        <v>3</v>
      </c>
      <c r="R15" s="226"/>
    </row>
    <row r="16" spans="1:16" ht="24.75" customHeight="1">
      <c r="A16" s="3" t="s">
        <v>34</v>
      </c>
      <c r="B16" s="7" t="s">
        <v>16</v>
      </c>
      <c r="C16" s="224">
        <f>622/704</f>
        <v>0.8835227272727273</v>
      </c>
      <c r="D16" s="237">
        <f>886/717</f>
        <v>1.2357043235704324</v>
      </c>
      <c r="E16" s="225">
        <f>D16/C16*100</f>
        <v>139.86106813401676</v>
      </c>
      <c r="F16" s="224">
        <f>119/714</f>
        <v>0.16666666666666666</v>
      </c>
      <c r="G16" s="237">
        <f>280/777</f>
        <v>0.36036036036036034</v>
      </c>
      <c r="H16" s="225">
        <f>G16/F16*100</f>
        <v>216.21621621621622</v>
      </c>
      <c r="I16" s="224">
        <f>741/1418</f>
        <v>0.5225669957686883</v>
      </c>
      <c r="J16" s="237">
        <f>1166/1494</f>
        <v>0.7804551539491299</v>
      </c>
      <c r="K16" s="225">
        <f>J16/I16*100</f>
        <v>149.3502575303463</v>
      </c>
      <c r="M16" t="s">
        <v>23</v>
      </c>
      <c r="N16">
        <f>81</f>
        <v>81</v>
      </c>
      <c r="O16">
        <v>38</v>
      </c>
      <c r="P16">
        <f t="shared" si="0"/>
        <v>119</v>
      </c>
    </row>
    <row r="17" spans="1:16" ht="24.75" customHeight="1">
      <c r="A17" s="3" t="s">
        <v>35</v>
      </c>
      <c r="B17" s="7" t="s">
        <v>17</v>
      </c>
      <c r="C17" s="224">
        <f>28/704</f>
        <v>0.03977272727272727</v>
      </c>
      <c r="D17" s="237">
        <f>10/717</f>
        <v>0.01394700139470014</v>
      </c>
      <c r="E17" s="225">
        <f>D17/C17*100</f>
        <v>35.066746363817494</v>
      </c>
      <c r="F17" s="224">
        <f>2/714</f>
        <v>0.0028011204481792717</v>
      </c>
      <c r="G17" s="237">
        <f>9/777</f>
        <v>0.011583011583011582</v>
      </c>
      <c r="H17" s="225">
        <f>G17/F17*100</f>
        <v>413.5135135135135</v>
      </c>
      <c r="I17" s="224">
        <f>30/1418</f>
        <v>0.021156558533145273</v>
      </c>
      <c r="J17" s="237">
        <f>19/1494</f>
        <v>0.012717536813922356</v>
      </c>
      <c r="K17" s="225">
        <f>J17/I17*100</f>
        <v>60.11155734047301</v>
      </c>
      <c r="M17" t="s">
        <v>24</v>
      </c>
      <c r="N17">
        <f>257+365</f>
        <v>622</v>
      </c>
      <c r="O17">
        <f>324+348</f>
        <v>672</v>
      </c>
      <c r="P17">
        <f t="shared" si="0"/>
        <v>1294</v>
      </c>
    </row>
    <row r="18" spans="1:11" ht="84.75" customHeight="1">
      <c r="A18" s="9">
        <v>3</v>
      </c>
      <c r="B18" s="5" t="s">
        <v>41</v>
      </c>
      <c r="C18" s="26" t="s">
        <v>168</v>
      </c>
      <c r="D18" s="343" t="s">
        <v>168</v>
      </c>
      <c r="E18" s="26" t="s">
        <v>168</v>
      </c>
      <c r="F18" s="26" t="s">
        <v>168</v>
      </c>
      <c r="G18" s="343" t="s">
        <v>168</v>
      </c>
      <c r="H18" s="26" t="s">
        <v>168</v>
      </c>
      <c r="I18" s="26" t="s">
        <v>168</v>
      </c>
      <c r="J18" s="343" t="s">
        <v>168</v>
      </c>
      <c r="K18" s="26" t="s">
        <v>168</v>
      </c>
    </row>
    <row r="19" spans="1:11" ht="24.75" customHeight="1">
      <c r="A19" s="3" t="s">
        <v>36</v>
      </c>
      <c r="B19" s="7" t="s">
        <v>14</v>
      </c>
      <c r="C19" s="26"/>
      <c r="D19" s="239"/>
      <c r="E19" s="26"/>
      <c r="F19" s="26"/>
      <c r="G19" s="239"/>
      <c r="H19" s="26"/>
      <c r="I19" s="26"/>
      <c r="J19" s="239"/>
      <c r="K19" s="26"/>
    </row>
    <row r="20" spans="1:11" ht="24.75" customHeight="1">
      <c r="A20" s="3" t="s">
        <v>37</v>
      </c>
      <c r="B20" s="7" t="s">
        <v>15</v>
      </c>
      <c r="C20" s="26"/>
      <c r="D20" s="239"/>
      <c r="E20" s="26"/>
      <c r="F20" s="26"/>
      <c r="G20" s="239"/>
      <c r="H20" s="26"/>
      <c r="I20" s="26"/>
      <c r="J20" s="239"/>
      <c r="K20" s="26"/>
    </row>
    <row r="21" spans="1:11" ht="24.75" customHeight="1">
      <c r="A21" s="3" t="s">
        <v>38</v>
      </c>
      <c r="B21" s="7" t="s">
        <v>16</v>
      </c>
      <c r="C21" s="26"/>
      <c r="D21" s="239"/>
      <c r="E21" s="26"/>
      <c r="F21" s="26"/>
      <c r="G21" s="239"/>
      <c r="H21" s="26"/>
      <c r="I21" s="26"/>
      <c r="J21" s="239"/>
      <c r="K21" s="26"/>
    </row>
    <row r="22" spans="1:11" ht="24.75" customHeight="1">
      <c r="A22" s="3" t="s">
        <v>39</v>
      </c>
      <c r="B22" s="7" t="s">
        <v>17</v>
      </c>
      <c r="C22" s="26"/>
      <c r="D22" s="238"/>
      <c r="E22" s="26"/>
      <c r="F22" s="26"/>
      <c r="G22" s="238"/>
      <c r="H22" s="26"/>
      <c r="I22" s="26"/>
      <c r="J22" s="238"/>
      <c r="K22" s="26"/>
    </row>
    <row r="23" spans="1:11" ht="70.5" customHeight="1">
      <c r="A23" s="9">
        <v>4</v>
      </c>
      <c r="B23" s="5" t="s">
        <v>42</v>
      </c>
      <c r="C23" s="26" t="s">
        <v>168</v>
      </c>
      <c r="D23" s="343" t="s">
        <v>168</v>
      </c>
      <c r="E23" s="26" t="s">
        <v>168</v>
      </c>
      <c r="F23" s="26" t="s">
        <v>168</v>
      </c>
      <c r="G23" s="343" t="s">
        <v>168</v>
      </c>
      <c r="H23" s="26" t="s">
        <v>168</v>
      </c>
      <c r="I23" s="26" t="s">
        <v>168</v>
      </c>
      <c r="J23" s="343" t="s">
        <v>168</v>
      </c>
      <c r="K23" s="26" t="s">
        <v>168</v>
      </c>
    </row>
    <row r="24" spans="1:11" ht="24.75" customHeight="1">
      <c r="A24" s="3" t="s">
        <v>43</v>
      </c>
      <c r="B24" s="7" t="s">
        <v>14</v>
      </c>
      <c r="C24" s="26"/>
      <c r="D24" s="239"/>
      <c r="E24" s="26"/>
      <c r="F24" s="26"/>
      <c r="G24" s="239"/>
      <c r="H24" s="26"/>
      <c r="I24" s="26"/>
      <c r="J24" s="239"/>
      <c r="K24" s="26"/>
    </row>
    <row r="25" spans="1:11" ht="24.75" customHeight="1">
      <c r="A25" s="3" t="s">
        <v>44</v>
      </c>
      <c r="B25" s="7" t="s">
        <v>15</v>
      </c>
      <c r="C25" s="26"/>
      <c r="D25" s="239"/>
      <c r="E25" s="26"/>
      <c r="F25" s="26"/>
      <c r="G25" s="239"/>
      <c r="H25" s="26"/>
      <c r="I25" s="26"/>
      <c r="J25" s="239"/>
      <c r="K25" s="26"/>
    </row>
    <row r="26" spans="1:11" ht="24.75" customHeight="1">
      <c r="A26" s="3" t="s">
        <v>45</v>
      </c>
      <c r="B26" s="7" t="s">
        <v>16</v>
      </c>
      <c r="C26" s="26"/>
      <c r="D26" s="239"/>
      <c r="E26" s="26"/>
      <c r="F26" s="26"/>
      <c r="G26" s="239"/>
      <c r="H26" s="26"/>
      <c r="I26" s="26"/>
      <c r="J26" s="239"/>
      <c r="K26" s="26"/>
    </row>
    <row r="27" spans="1:11" ht="24.75" customHeight="1">
      <c r="A27" s="3" t="s">
        <v>46</v>
      </c>
      <c r="B27" s="7" t="s">
        <v>17</v>
      </c>
      <c r="C27" s="26"/>
      <c r="D27" s="238"/>
      <c r="E27" s="26"/>
      <c r="F27" s="26"/>
      <c r="G27" s="238"/>
      <c r="H27" s="26"/>
      <c r="I27" s="26"/>
      <c r="J27" s="238"/>
      <c r="K27" s="26"/>
    </row>
    <row r="28" spans="1:11" ht="54" customHeight="1">
      <c r="A28" s="9">
        <v>5</v>
      </c>
      <c r="B28" s="5" t="s">
        <v>48</v>
      </c>
      <c r="C28" s="6">
        <v>0</v>
      </c>
      <c r="D28" s="238">
        <v>0</v>
      </c>
      <c r="E28" s="6">
        <v>0</v>
      </c>
      <c r="F28" s="6">
        <v>0</v>
      </c>
      <c r="G28" s="238">
        <v>0</v>
      </c>
      <c r="H28" s="6">
        <v>0</v>
      </c>
      <c r="I28" s="6">
        <v>0</v>
      </c>
      <c r="J28" s="238">
        <v>0</v>
      </c>
      <c r="K28" s="6">
        <v>0</v>
      </c>
    </row>
    <row r="29" spans="1:11" ht="57" customHeight="1">
      <c r="A29" s="9" t="s">
        <v>47</v>
      </c>
      <c r="B29" s="5" t="s">
        <v>49</v>
      </c>
      <c r="C29" s="6">
        <v>0</v>
      </c>
      <c r="D29" s="238">
        <v>0</v>
      </c>
      <c r="E29" s="6">
        <v>0</v>
      </c>
      <c r="F29" s="6">
        <v>0</v>
      </c>
      <c r="G29" s="238">
        <v>0</v>
      </c>
      <c r="H29" s="6">
        <v>0</v>
      </c>
      <c r="I29" s="6">
        <v>0</v>
      </c>
      <c r="J29" s="238">
        <v>0</v>
      </c>
      <c r="K29" s="6">
        <v>0</v>
      </c>
    </row>
  </sheetData>
  <sheetProtection/>
  <mergeCells count="10">
    <mergeCell ref="F4:H4"/>
    <mergeCell ref="F5:H5"/>
    <mergeCell ref="I4:K4"/>
    <mergeCell ref="I5:K5"/>
    <mergeCell ref="A1:E1"/>
    <mergeCell ref="C5:E5"/>
    <mergeCell ref="A2:E2"/>
    <mergeCell ref="C4:E4"/>
    <mergeCell ref="B4:B6"/>
    <mergeCell ref="A4:A6"/>
  </mergeCells>
  <printOptions/>
  <pageMargins left="0.7" right="0.7" top="0.75" bottom="0.75" header="0.3" footer="0.3"/>
  <pageSetup fitToHeight="1" fitToWidth="1" horizontalDpi="180" verticalDpi="18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75" zoomScaleNormal="75" zoomScalePageLayoutView="0" workbookViewId="0" topLeftCell="A4">
      <selection activeCell="B16" sqref="B16"/>
    </sheetView>
  </sheetViews>
  <sheetFormatPr defaultColWidth="9.140625" defaultRowHeight="15"/>
  <cols>
    <col min="1" max="1" width="4.28125" style="0" customWidth="1"/>
    <col min="2" max="2" width="26.28125" style="0" customWidth="1"/>
    <col min="3" max="3" width="12.140625" style="0" bestFit="1" customWidth="1"/>
    <col min="4" max="4" width="9.00390625" style="0" bestFit="1" customWidth="1"/>
    <col min="5" max="6" width="13.28125" style="0" bestFit="1" customWidth="1"/>
    <col min="7" max="8" width="9.00390625" style="0" bestFit="1" customWidth="1"/>
    <col min="9" max="9" width="12.00390625" style="0" bestFit="1" customWidth="1"/>
    <col min="10" max="14" width="9.00390625" style="0" bestFit="1" customWidth="1"/>
    <col min="19" max="19" width="25.00390625" style="0" customWidth="1"/>
    <col min="20" max="20" width="23.8515625" style="0" customWidth="1"/>
  </cols>
  <sheetData>
    <row r="1" spans="1:20" ht="64.5" customHeight="1">
      <c r="A1" s="451" t="s">
        <v>18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</row>
    <row r="2" ht="15.75" thickBot="1">
      <c r="A2" s="2"/>
    </row>
    <row r="3" spans="1:20" ht="197.25" customHeight="1">
      <c r="A3" s="457" t="s">
        <v>10</v>
      </c>
      <c r="B3" s="453" t="s">
        <v>52</v>
      </c>
      <c r="C3" s="453" t="s">
        <v>50</v>
      </c>
      <c r="D3" s="453"/>
      <c r="E3" s="453"/>
      <c r="F3" s="453"/>
      <c r="G3" s="453" t="s">
        <v>51</v>
      </c>
      <c r="H3" s="453"/>
      <c r="I3" s="453"/>
      <c r="J3" s="453"/>
      <c r="K3" s="453" t="s">
        <v>53</v>
      </c>
      <c r="L3" s="453"/>
      <c r="M3" s="453"/>
      <c r="N3" s="453"/>
      <c r="O3" s="453" t="s">
        <v>54</v>
      </c>
      <c r="P3" s="453"/>
      <c r="Q3" s="453"/>
      <c r="R3" s="453"/>
      <c r="S3" s="453" t="s">
        <v>19</v>
      </c>
      <c r="T3" s="453" t="s">
        <v>20</v>
      </c>
    </row>
    <row r="4" spans="1:20" ht="15">
      <c r="A4" s="458"/>
      <c r="B4" s="453"/>
      <c r="C4" s="38" t="s">
        <v>21</v>
      </c>
      <c r="D4" s="38" t="s">
        <v>22</v>
      </c>
      <c r="E4" s="38" t="s">
        <v>23</v>
      </c>
      <c r="F4" s="38" t="s">
        <v>24</v>
      </c>
      <c r="G4" s="38" t="s">
        <v>21</v>
      </c>
      <c r="H4" s="38" t="s">
        <v>22</v>
      </c>
      <c r="I4" s="38" t="s">
        <v>23</v>
      </c>
      <c r="J4" s="38" t="s">
        <v>24</v>
      </c>
      <c r="K4" s="38" t="s">
        <v>21</v>
      </c>
      <c r="L4" s="38" t="s">
        <v>22</v>
      </c>
      <c r="M4" s="38" t="s">
        <v>23</v>
      </c>
      <c r="N4" s="38" t="s">
        <v>24</v>
      </c>
      <c r="O4" s="38" t="s">
        <v>21</v>
      </c>
      <c r="P4" s="38" t="s">
        <v>22</v>
      </c>
      <c r="Q4" s="38" t="s">
        <v>23</v>
      </c>
      <c r="R4" s="38" t="s">
        <v>24</v>
      </c>
      <c r="S4" s="453"/>
      <c r="T4" s="453"/>
    </row>
    <row r="5" spans="1:20" ht="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  <c r="P5" s="39">
        <v>16</v>
      </c>
      <c r="Q5" s="39">
        <v>17</v>
      </c>
      <c r="R5" s="39">
        <v>18</v>
      </c>
      <c r="S5" s="39">
        <v>19</v>
      </c>
      <c r="T5" s="39">
        <v>20</v>
      </c>
    </row>
    <row r="6" spans="1:20" ht="105" customHeight="1">
      <c r="A6" s="336">
        <v>1</v>
      </c>
      <c r="B6" s="336" t="s">
        <v>156</v>
      </c>
      <c r="C6" s="337">
        <f>'Пункт 2.1.'!D8</f>
        <v>3.638577405857741</v>
      </c>
      <c r="D6" s="337"/>
      <c r="E6" s="337">
        <f>'Пункт 2.1.'!D11</f>
        <v>3.5645467224546725</v>
      </c>
      <c r="F6" s="337">
        <f>'Пункт 2.1.'!D12</f>
        <v>0.07403068340306834</v>
      </c>
      <c r="G6" s="337">
        <f>'Пункт 2.1.'!D13</f>
        <v>1.2496513249651324</v>
      </c>
      <c r="H6" s="337"/>
      <c r="I6" s="337">
        <f>'Пункт 2.1.'!D16</f>
        <v>1.2357043235704324</v>
      </c>
      <c r="J6" s="337">
        <f>'Пункт 2.1.'!D17</f>
        <v>0.01394700139470014</v>
      </c>
      <c r="K6" s="338" t="s">
        <v>168</v>
      </c>
      <c r="L6" s="338" t="s">
        <v>168</v>
      </c>
      <c r="M6" s="338" t="s">
        <v>168</v>
      </c>
      <c r="N6" s="338" t="s">
        <v>168</v>
      </c>
      <c r="O6" s="338" t="s">
        <v>168</v>
      </c>
      <c r="P6" s="338" t="s">
        <v>168</v>
      </c>
      <c r="Q6" s="338" t="s">
        <v>168</v>
      </c>
      <c r="R6" s="338" t="s">
        <v>168</v>
      </c>
      <c r="S6" s="340" t="s">
        <v>168</v>
      </c>
      <c r="T6" s="454" t="s">
        <v>564</v>
      </c>
    </row>
    <row r="7" spans="1:20" ht="54" customHeight="1">
      <c r="A7" s="33">
        <v>2</v>
      </c>
      <c r="B7" s="6" t="s">
        <v>265</v>
      </c>
      <c r="C7" s="224">
        <f>'Пункт 2.1.'!G8</f>
        <v>0.4627027027027027</v>
      </c>
      <c r="D7" s="224"/>
      <c r="E7" s="224">
        <f>'Пункт 2.1.'!G11</f>
        <v>0.4150836550836551</v>
      </c>
      <c r="F7" s="224">
        <f>'Пункт 2.1.'!G12</f>
        <v>0.047619047619047616</v>
      </c>
      <c r="G7" s="224">
        <f>'Пункт 2.1.'!G13</f>
        <v>0.37194337194337196</v>
      </c>
      <c r="H7" s="335"/>
      <c r="I7" s="224">
        <f>'Пункт 2.1.'!G16</f>
        <v>0.36036036036036034</v>
      </c>
      <c r="J7" s="224">
        <f>'Пункт 2.1.'!G17</f>
        <v>0.011583011583011582</v>
      </c>
      <c r="K7" s="338" t="s">
        <v>168</v>
      </c>
      <c r="L7" s="338" t="s">
        <v>168</v>
      </c>
      <c r="M7" s="338" t="s">
        <v>168</v>
      </c>
      <c r="N7" s="338" t="s">
        <v>168</v>
      </c>
      <c r="O7" s="338" t="s">
        <v>168</v>
      </c>
      <c r="P7" s="338" t="s">
        <v>168</v>
      </c>
      <c r="Q7" s="338" t="s">
        <v>168</v>
      </c>
      <c r="R7" s="338" t="s">
        <v>168</v>
      </c>
      <c r="S7" s="341" t="s">
        <v>168</v>
      </c>
      <c r="T7" s="455"/>
    </row>
    <row r="8" spans="1:20" ht="45.75" customHeight="1">
      <c r="A8" s="36" t="s">
        <v>25</v>
      </c>
      <c r="B8" s="37" t="s">
        <v>26</v>
      </c>
      <c r="C8" s="339">
        <f>'Пункт 2.1.'!J8</f>
        <v>1.9868674698795181</v>
      </c>
      <c r="D8" s="339"/>
      <c r="E8" s="339">
        <f>'Пункт 2.1.'!J11</f>
        <v>1.9265729585006695</v>
      </c>
      <c r="F8" s="339">
        <f>'Пункт 2.1.'!J12</f>
        <v>0.060294511378848725</v>
      </c>
      <c r="G8" s="339">
        <f>'Пункт 2.1.'!J13</f>
        <v>0.7931726907630522</v>
      </c>
      <c r="H8" s="339"/>
      <c r="I8" s="339">
        <f>'Пункт 2.1.'!J16</f>
        <v>0.7804551539491299</v>
      </c>
      <c r="J8" s="339">
        <f>'Пункт 2.1.'!J17</f>
        <v>0.012717536813922356</v>
      </c>
      <c r="K8" s="338" t="s">
        <v>168</v>
      </c>
      <c r="L8" s="338" t="s">
        <v>168</v>
      </c>
      <c r="M8" s="338" t="s">
        <v>168</v>
      </c>
      <c r="N8" s="338" t="s">
        <v>168</v>
      </c>
      <c r="O8" s="338" t="s">
        <v>168</v>
      </c>
      <c r="P8" s="338" t="s">
        <v>168</v>
      </c>
      <c r="Q8" s="338" t="s">
        <v>168</v>
      </c>
      <c r="R8" s="338" t="s">
        <v>168</v>
      </c>
      <c r="S8" s="342" t="s">
        <v>168</v>
      </c>
      <c r="T8" s="456"/>
    </row>
    <row r="9" spans="1:2" ht="15">
      <c r="A9" s="2"/>
      <c r="B9" t="s">
        <v>55</v>
      </c>
    </row>
    <row r="10" spans="1:20" ht="15">
      <c r="A10" s="10"/>
      <c r="B10" s="10" t="s">
        <v>56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3" customHeight="1">
      <c r="A11" s="11"/>
      <c r="B11" s="407" t="s">
        <v>57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</row>
    <row r="14" spans="1:13" ht="18.75">
      <c r="A14" s="451" t="s">
        <v>59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</row>
    <row r="15" spans="1:13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5.75">
      <c r="A16" s="15" t="s">
        <v>60</v>
      </c>
      <c r="B16" s="15" t="s">
        <v>566</v>
      </c>
      <c r="C16" s="12"/>
      <c r="D16" s="12"/>
      <c r="E16" s="12"/>
      <c r="F16" s="13"/>
      <c r="G16" s="13"/>
      <c r="H16" s="13"/>
      <c r="I16" s="13"/>
      <c r="J16" s="13"/>
      <c r="K16" s="13"/>
      <c r="L16" s="13"/>
      <c r="M16" s="13"/>
    </row>
    <row r="17" spans="1:13" ht="15.75">
      <c r="A17" s="14" t="s">
        <v>61</v>
      </c>
      <c r="B17" s="13" t="s">
        <v>567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</sheetData>
  <sheetProtection/>
  <mergeCells count="12">
    <mergeCell ref="A1:T1"/>
    <mergeCell ref="B11:T11"/>
    <mergeCell ref="S3:S4"/>
    <mergeCell ref="T3:T4"/>
    <mergeCell ref="A3:A4"/>
    <mergeCell ref="B3:B4"/>
    <mergeCell ref="C3:F3"/>
    <mergeCell ref="A14:M14"/>
    <mergeCell ref="G3:J3"/>
    <mergeCell ref="K3:N3"/>
    <mergeCell ref="O3:R3"/>
    <mergeCell ref="T6:T8"/>
  </mergeCells>
  <printOptions/>
  <pageMargins left="0.7" right="0.7" top="0.75" bottom="0.75" header="0.3" footer="0.3"/>
  <pageSetup fitToHeight="0" fitToWidth="1" horizontalDpi="180" verticalDpi="18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42"/>
  <sheetViews>
    <sheetView zoomScalePageLayoutView="0" workbookViewId="0" topLeftCell="A32">
      <selection activeCell="E49" sqref="E49"/>
    </sheetView>
  </sheetViews>
  <sheetFormatPr defaultColWidth="9.140625" defaultRowHeight="15"/>
  <cols>
    <col min="1" max="1" width="3.7109375" style="0" customWidth="1"/>
    <col min="2" max="2" width="25.421875" style="0" customWidth="1"/>
    <col min="3" max="3" width="22.7109375" style="0" customWidth="1"/>
    <col min="4" max="4" width="15.57421875" style="0" customWidth="1"/>
    <col min="5" max="5" width="8.57421875" style="0" customWidth="1"/>
    <col min="15" max="15" width="18.7109375" style="0" customWidth="1"/>
  </cols>
  <sheetData>
    <row r="1" spans="1:12" ht="24.75" customHeight="1">
      <c r="A1" s="451" t="s">
        <v>81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3" ht="79.5" customHeight="1">
      <c r="A2" s="459" t="s">
        <v>79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16"/>
    </row>
    <row r="3" spans="1:15" ht="93" customHeight="1">
      <c r="A3" s="487" t="s">
        <v>266</v>
      </c>
      <c r="B3" s="460" t="s">
        <v>267</v>
      </c>
      <c r="C3" s="460" t="s">
        <v>268</v>
      </c>
      <c r="D3" s="460" t="s">
        <v>269</v>
      </c>
      <c r="E3" s="48" t="s">
        <v>270</v>
      </c>
      <c r="F3" s="40" t="s">
        <v>271</v>
      </c>
      <c r="G3" s="40" t="s">
        <v>272</v>
      </c>
      <c r="H3" s="40" t="s">
        <v>273</v>
      </c>
      <c r="I3" s="461" t="s">
        <v>274</v>
      </c>
      <c r="J3" s="461"/>
      <c r="K3" s="461"/>
      <c r="L3" s="40" t="s">
        <v>275</v>
      </c>
      <c r="M3" s="40" t="s">
        <v>276</v>
      </c>
      <c r="N3" s="40" t="s">
        <v>277</v>
      </c>
      <c r="O3" s="40" t="s">
        <v>278</v>
      </c>
    </row>
    <row r="4" spans="1:15" ht="13.5" customHeight="1">
      <c r="A4" s="488"/>
      <c r="B4" s="460"/>
      <c r="C4" s="460"/>
      <c r="D4" s="460"/>
      <c r="E4" s="40" t="s">
        <v>279</v>
      </c>
      <c r="F4" s="40" t="s">
        <v>280</v>
      </c>
      <c r="G4" s="40" t="s">
        <v>281</v>
      </c>
      <c r="H4" s="40" t="s">
        <v>281</v>
      </c>
      <c r="I4" s="131" t="s">
        <v>282</v>
      </c>
      <c r="J4" s="131" t="s">
        <v>281</v>
      </c>
      <c r="K4" s="131" t="s">
        <v>283</v>
      </c>
      <c r="L4" s="40" t="s">
        <v>281</v>
      </c>
      <c r="M4" s="40" t="s">
        <v>284</v>
      </c>
      <c r="N4" s="40" t="s">
        <v>284</v>
      </c>
      <c r="O4" s="41"/>
    </row>
    <row r="5" spans="1:15" ht="12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6">
        <v>8</v>
      </c>
      <c r="I5" s="131">
        <v>9</v>
      </c>
      <c r="J5" s="131">
        <v>10</v>
      </c>
      <c r="K5" s="131">
        <v>11</v>
      </c>
      <c r="L5" s="136">
        <v>12</v>
      </c>
      <c r="M5" s="41">
        <v>13</v>
      </c>
      <c r="N5" s="41">
        <v>14</v>
      </c>
      <c r="O5" s="41">
        <v>15</v>
      </c>
    </row>
    <row r="6" spans="1:15" ht="15" customHeight="1">
      <c r="A6" s="471" t="s">
        <v>250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3"/>
    </row>
    <row r="7" spans="1:15" ht="24.75" customHeight="1">
      <c r="A7" s="42">
        <v>1</v>
      </c>
      <c r="B7" s="42" t="s">
        <v>285</v>
      </c>
      <c r="C7" s="42" t="s">
        <v>286</v>
      </c>
      <c r="D7" s="42" t="s">
        <v>287</v>
      </c>
      <c r="E7" s="160">
        <v>35</v>
      </c>
      <c r="F7" s="42" t="s">
        <v>288</v>
      </c>
      <c r="G7" s="42">
        <f>10000*0.85</f>
        <v>8500</v>
      </c>
      <c r="H7" s="42">
        <v>7500</v>
      </c>
      <c r="I7" s="132">
        <v>12</v>
      </c>
      <c r="J7" s="132">
        <v>448.7</v>
      </c>
      <c r="K7" s="214">
        <f>J7*0.85</f>
        <v>381.395</v>
      </c>
      <c r="L7" s="42">
        <v>0</v>
      </c>
      <c r="M7" s="43">
        <f>((H7)/G7)*100</f>
        <v>88.23529411764706</v>
      </c>
      <c r="N7" s="43">
        <f>J7/G7*100</f>
        <v>5.278823529411764</v>
      </c>
      <c r="O7" s="44"/>
    </row>
    <row r="8" spans="1:15" ht="24.75" customHeight="1">
      <c r="A8" s="42">
        <v>2</v>
      </c>
      <c r="B8" s="42" t="s">
        <v>289</v>
      </c>
      <c r="C8" s="42" t="s">
        <v>290</v>
      </c>
      <c r="D8" s="42" t="s">
        <v>291</v>
      </c>
      <c r="E8" s="160">
        <v>10</v>
      </c>
      <c r="F8" s="45" t="s">
        <v>292</v>
      </c>
      <c r="G8" s="42">
        <v>3550</v>
      </c>
      <c r="H8" s="42">
        <v>670</v>
      </c>
      <c r="I8" s="478">
        <v>47</v>
      </c>
      <c r="J8" s="462">
        <v>1119.08</v>
      </c>
      <c r="K8" s="468">
        <f>J8*0.85</f>
        <v>951.218</v>
      </c>
      <c r="L8" s="465">
        <v>1500</v>
      </c>
      <c r="M8" s="43">
        <f>((H8+H9)/G8)*100</f>
        <v>54.3661971830986</v>
      </c>
      <c r="N8" s="43">
        <v>75</v>
      </c>
      <c r="O8" s="44"/>
    </row>
    <row r="9" spans="1:15" ht="24.75" customHeight="1">
      <c r="A9" s="42">
        <v>3</v>
      </c>
      <c r="B9" s="42" t="s">
        <v>289</v>
      </c>
      <c r="C9" s="42" t="s">
        <v>293</v>
      </c>
      <c r="D9" s="42" t="s">
        <v>291</v>
      </c>
      <c r="E9" s="160">
        <v>10</v>
      </c>
      <c r="F9" s="42" t="s">
        <v>294</v>
      </c>
      <c r="G9" s="42">
        <v>3550</v>
      </c>
      <c r="H9" s="42">
        <v>1260</v>
      </c>
      <c r="I9" s="479"/>
      <c r="J9" s="463"/>
      <c r="K9" s="469"/>
      <c r="L9" s="466"/>
      <c r="M9" s="43">
        <f>((H9+H8)/G9)*100</f>
        <v>54.3661971830986</v>
      </c>
      <c r="N9" s="43">
        <v>75</v>
      </c>
      <c r="O9" s="44"/>
    </row>
    <row r="10" spans="1:15" ht="24.75" customHeight="1">
      <c r="A10" s="42">
        <v>4</v>
      </c>
      <c r="B10" s="42" t="s">
        <v>289</v>
      </c>
      <c r="C10" s="42" t="s">
        <v>295</v>
      </c>
      <c r="D10" s="42" t="s">
        <v>291</v>
      </c>
      <c r="E10" s="160">
        <v>10</v>
      </c>
      <c r="F10" s="42" t="s">
        <v>296</v>
      </c>
      <c r="G10" s="42">
        <v>3550</v>
      </c>
      <c r="H10" s="42">
        <v>2030</v>
      </c>
      <c r="I10" s="479"/>
      <c r="J10" s="463"/>
      <c r="K10" s="469"/>
      <c r="L10" s="466"/>
      <c r="M10" s="46">
        <f>((H10+H11)/G10)*100</f>
        <v>84.78873239436619</v>
      </c>
      <c r="N10" s="43">
        <v>100</v>
      </c>
      <c r="O10" s="44"/>
    </row>
    <row r="11" spans="1:15" ht="24.75" customHeight="1">
      <c r="A11" s="42">
        <v>5</v>
      </c>
      <c r="B11" s="42" t="s">
        <v>297</v>
      </c>
      <c r="C11" s="42" t="s">
        <v>298</v>
      </c>
      <c r="D11" s="42" t="s">
        <v>291</v>
      </c>
      <c r="E11" s="160">
        <v>10</v>
      </c>
      <c r="F11" s="42" t="s">
        <v>299</v>
      </c>
      <c r="G11" s="42">
        <f>3550</f>
        <v>3550</v>
      </c>
      <c r="H11" s="42">
        <v>980</v>
      </c>
      <c r="I11" s="479"/>
      <c r="J11" s="463"/>
      <c r="K11" s="469"/>
      <c r="L11" s="466"/>
      <c r="M11" s="43">
        <f>(H10+H11)/G11*100</f>
        <v>84.78873239436619</v>
      </c>
      <c r="N11" s="43">
        <v>100</v>
      </c>
      <c r="O11" s="44"/>
    </row>
    <row r="12" spans="1:15" ht="24.75" customHeight="1">
      <c r="A12" s="42">
        <v>6</v>
      </c>
      <c r="B12" s="42" t="s">
        <v>297</v>
      </c>
      <c r="C12" s="42" t="s">
        <v>300</v>
      </c>
      <c r="D12" s="42" t="s">
        <v>291</v>
      </c>
      <c r="E12" s="160">
        <v>10</v>
      </c>
      <c r="F12" s="45" t="s">
        <v>301</v>
      </c>
      <c r="G12" s="42">
        <v>1320</v>
      </c>
      <c r="H12" s="42">
        <v>740</v>
      </c>
      <c r="I12" s="479"/>
      <c r="J12" s="463"/>
      <c r="K12" s="469"/>
      <c r="L12" s="466"/>
      <c r="M12" s="43">
        <f>1300/G12*100</f>
        <v>98.48484848484848</v>
      </c>
      <c r="N12" s="47">
        <v>100</v>
      </c>
      <c r="O12" s="44"/>
    </row>
    <row r="13" spans="1:15" ht="24.75" customHeight="1">
      <c r="A13" s="42">
        <v>7</v>
      </c>
      <c r="B13" s="42" t="s">
        <v>289</v>
      </c>
      <c r="C13" s="42" t="s">
        <v>302</v>
      </c>
      <c r="D13" s="42" t="s">
        <v>291</v>
      </c>
      <c r="E13" s="160">
        <v>10</v>
      </c>
      <c r="F13" s="45" t="s">
        <v>303</v>
      </c>
      <c r="G13" s="42">
        <v>550</v>
      </c>
      <c r="H13" s="42">
        <v>300</v>
      </c>
      <c r="I13" s="480"/>
      <c r="J13" s="464"/>
      <c r="K13" s="470"/>
      <c r="L13" s="467"/>
      <c r="M13" s="43">
        <f>500/G13*100</f>
        <v>90.9090909090909</v>
      </c>
      <c r="N13" s="47">
        <v>100</v>
      </c>
      <c r="O13" s="44"/>
    </row>
    <row r="14" spans="1:15" ht="24.75" customHeight="1">
      <c r="A14" s="42">
        <v>8</v>
      </c>
      <c r="B14" s="42" t="s">
        <v>285</v>
      </c>
      <c r="C14" s="42" t="s">
        <v>304</v>
      </c>
      <c r="D14" s="42" t="s">
        <v>287</v>
      </c>
      <c r="E14" s="160">
        <v>6</v>
      </c>
      <c r="F14" s="45" t="s">
        <v>305</v>
      </c>
      <c r="G14" s="42"/>
      <c r="H14" s="42">
        <v>0</v>
      </c>
      <c r="I14" s="132"/>
      <c r="J14" s="132"/>
      <c r="K14" s="132"/>
      <c r="L14" s="42">
        <v>400</v>
      </c>
      <c r="M14" s="44">
        <v>0</v>
      </c>
      <c r="N14" s="44"/>
      <c r="O14" s="44" t="s">
        <v>306</v>
      </c>
    </row>
    <row r="15" spans="1:15" ht="24.75" customHeight="1">
      <c r="A15" s="42">
        <v>9</v>
      </c>
      <c r="B15" s="42" t="s">
        <v>285</v>
      </c>
      <c r="C15" s="42" t="s">
        <v>307</v>
      </c>
      <c r="D15" s="42" t="s">
        <v>287</v>
      </c>
      <c r="E15" s="160">
        <v>6</v>
      </c>
      <c r="F15" s="45" t="s">
        <v>305</v>
      </c>
      <c r="G15" s="42"/>
      <c r="H15" s="42">
        <v>60</v>
      </c>
      <c r="I15" s="132"/>
      <c r="J15" s="132"/>
      <c r="K15" s="132"/>
      <c r="L15" s="42">
        <v>250</v>
      </c>
      <c r="M15" s="44"/>
      <c r="N15" s="44"/>
      <c r="O15" s="44"/>
    </row>
    <row r="16" spans="1:15" ht="24.75" customHeight="1">
      <c r="A16" s="481" t="s">
        <v>258</v>
      </c>
      <c r="B16" s="482"/>
      <c r="C16" s="482"/>
      <c r="D16" s="482"/>
      <c r="E16" s="482"/>
      <c r="F16" s="483"/>
      <c r="G16" s="215">
        <f aca="true" t="shared" si="0" ref="G16:L16">SUM(G7:G15)</f>
        <v>24570</v>
      </c>
      <c r="H16" s="215">
        <f t="shared" si="0"/>
        <v>13540</v>
      </c>
      <c r="I16" s="215">
        <f t="shared" si="0"/>
        <v>59</v>
      </c>
      <c r="J16" s="215">
        <f t="shared" si="0"/>
        <v>1567.78</v>
      </c>
      <c r="K16" s="215">
        <f t="shared" si="0"/>
        <v>1332.6129999999998</v>
      </c>
      <c r="L16" s="215">
        <f t="shared" si="0"/>
        <v>2150</v>
      </c>
      <c r="M16" s="217"/>
      <c r="N16" s="217"/>
      <c r="O16" s="44"/>
    </row>
    <row r="17" spans="1:15" ht="17.25" customHeight="1">
      <c r="A17" s="474" t="s">
        <v>249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6"/>
    </row>
    <row r="18" spans="1:15" ht="24.75" customHeight="1">
      <c r="A18" s="42">
        <v>1</v>
      </c>
      <c r="B18" s="42" t="s">
        <v>311</v>
      </c>
      <c r="C18" s="42" t="s">
        <v>312</v>
      </c>
      <c r="D18" s="42" t="s">
        <v>313</v>
      </c>
      <c r="E18" s="160">
        <v>6</v>
      </c>
      <c r="F18" s="42" t="s">
        <v>314</v>
      </c>
      <c r="G18" s="42">
        <f>250*0.85</f>
        <v>212.5</v>
      </c>
      <c r="H18" s="42">
        <v>2.35</v>
      </c>
      <c r="I18" s="484">
        <v>1</v>
      </c>
      <c r="J18" s="159">
        <v>2.3</v>
      </c>
      <c r="K18" s="159">
        <f>J18*0.85</f>
        <v>1.9549999999999998</v>
      </c>
      <c r="L18" s="42">
        <f>G18-H18</f>
        <v>210.15</v>
      </c>
      <c r="M18" s="43">
        <f>(H18/G18)*100</f>
        <v>1.1058823529411765</v>
      </c>
      <c r="N18" s="43">
        <f>J18/G18*100</f>
        <v>1.0823529411764705</v>
      </c>
      <c r="O18" s="44"/>
    </row>
    <row r="19" spans="1:15" ht="24.75" customHeight="1">
      <c r="A19" s="42">
        <v>2</v>
      </c>
      <c r="B19" s="42" t="s">
        <v>311</v>
      </c>
      <c r="C19" s="42" t="s">
        <v>315</v>
      </c>
      <c r="D19" s="42" t="s">
        <v>313</v>
      </c>
      <c r="E19" s="160">
        <v>6</v>
      </c>
      <c r="F19" s="42" t="s">
        <v>316</v>
      </c>
      <c r="G19" s="42">
        <f>200*0.85</f>
        <v>170</v>
      </c>
      <c r="H19" s="42">
        <v>0</v>
      </c>
      <c r="I19" s="485"/>
      <c r="J19" s="159">
        <v>2.3</v>
      </c>
      <c r="K19" s="159">
        <f aca="true" t="shared" si="1" ref="K19:K29">J19*0.85</f>
        <v>1.9549999999999998</v>
      </c>
      <c r="L19" s="42">
        <f aca="true" t="shared" si="2" ref="L19:L36">G19-H19</f>
        <v>170</v>
      </c>
      <c r="M19" s="43">
        <f>((H19+H20)/(G19+G20)*100)</f>
        <v>48.705882352941174</v>
      </c>
      <c r="N19" s="43">
        <f aca="true" t="shared" si="3" ref="N19:N36">J19/G19*100</f>
        <v>1.352941176470588</v>
      </c>
      <c r="O19" s="44"/>
    </row>
    <row r="20" spans="1:15" ht="24.75" customHeight="1">
      <c r="A20" s="42">
        <v>3</v>
      </c>
      <c r="B20" s="42" t="s">
        <v>311</v>
      </c>
      <c r="C20" s="42" t="s">
        <v>317</v>
      </c>
      <c r="D20" s="42" t="s">
        <v>313</v>
      </c>
      <c r="E20" s="160">
        <v>6</v>
      </c>
      <c r="F20" s="42" t="s">
        <v>316</v>
      </c>
      <c r="G20" s="42">
        <f>200*0.85</f>
        <v>170</v>
      </c>
      <c r="H20" s="42">
        <v>165.6</v>
      </c>
      <c r="I20" s="485"/>
      <c r="J20" s="159">
        <v>2.3</v>
      </c>
      <c r="K20" s="159">
        <f t="shared" si="1"/>
        <v>1.9549999999999998</v>
      </c>
      <c r="L20" s="42">
        <f t="shared" si="2"/>
        <v>4.400000000000006</v>
      </c>
      <c r="M20" s="43">
        <f>((H20+H19)/(G20+G19))*100</f>
        <v>48.705882352941174</v>
      </c>
      <c r="N20" s="43">
        <f t="shared" si="3"/>
        <v>1.352941176470588</v>
      </c>
      <c r="O20" s="44"/>
    </row>
    <row r="21" spans="1:15" ht="24.75" customHeight="1">
      <c r="A21" s="42">
        <v>4</v>
      </c>
      <c r="B21" s="42" t="s">
        <v>311</v>
      </c>
      <c r="C21" s="42" t="s">
        <v>318</v>
      </c>
      <c r="D21" s="42" t="s">
        <v>313</v>
      </c>
      <c r="E21" s="160">
        <v>6</v>
      </c>
      <c r="F21" s="45" t="s">
        <v>319</v>
      </c>
      <c r="G21" s="42">
        <f>1580*0.85</f>
        <v>1343</v>
      </c>
      <c r="H21" s="42">
        <v>591.1</v>
      </c>
      <c r="I21" s="485"/>
      <c r="J21" s="159">
        <v>2.3</v>
      </c>
      <c r="K21" s="159">
        <f t="shared" si="1"/>
        <v>1.9549999999999998</v>
      </c>
      <c r="L21" s="42">
        <f t="shared" si="2"/>
        <v>751.9</v>
      </c>
      <c r="M21" s="43">
        <f>(H21/G21)*100</f>
        <v>44.013402829486225</v>
      </c>
      <c r="N21" s="43">
        <f t="shared" si="3"/>
        <v>0.17125837676842887</v>
      </c>
      <c r="O21" s="44"/>
    </row>
    <row r="22" spans="1:15" ht="24.75" customHeight="1">
      <c r="A22" s="42">
        <v>5</v>
      </c>
      <c r="B22" s="42" t="s">
        <v>311</v>
      </c>
      <c r="C22" s="42" t="s">
        <v>320</v>
      </c>
      <c r="D22" s="42" t="s">
        <v>313</v>
      </c>
      <c r="E22" s="160">
        <v>6</v>
      </c>
      <c r="F22" s="45" t="s">
        <v>321</v>
      </c>
      <c r="G22" s="42">
        <f>2360*0.85</f>
        <v>2006</v>
      </c>
      <c r="H22" s="42">
        <v>452</v>
      </c>
      <c r="I22" s="486"/>
      <c r="J22" s="159">
        <v>2.3</v>
      </c>
      <c r="K22" s="159">
        <f t="shared" si="1"/>
        <v>1.9549999999999998</v>
      </c>
      <c r="L22" s="42">
        <f t="shared" si="2"/>
        <v>1554</v>
      </c>
      <c r="M22" s="43">
        <f>((H22+H23)/(G22+G23)*100)</f>
        <v>23.785785500640934</v>
      </c>
      <c r="N22" s="43">
        <f t="shared" si="3"/>
        <v>0.11465603190428714</v>
      </c>
      <c r="O22" s="44"/>
    </row>
    <row r="23" spans="1:15" ht="24.75" customHeight="1">
      <c r="A23" s="42">
        <v>6</v>
      </c>
      <c r="B23" s="42" t="s">
        <v>311</v>
      </c>
      <c r="C23" s="42" t="s">
        <v>322</v>
      </c>
      <c r="D23" s="42" t="s">
        <v>313</v>
      </c>
      <c r="E23" s="160">
        <v>6</v>
      </c>
      <c r="F23" s="45" t="s">
        <v>323</v>
      </c>
      <c r="G23" s="42">
        <f>1770*0.85</f>
        <v>1504.5</v>
      </c>
      <c r="H23" s="42">
        <v>383</v>
      </c>
      <c r="I23" s="159">
        <v>1</v>
      </c>
      <c r="J23" s="159">
        <f>3+2.3</f>
        <v>5.3</v>
      </c>
      <c r="K23" s="159">
        <f t="shared" si="1"/>
        <v>4.505</v>
      </c>
      <c r="L23" s="42">
        <f t="shared" si="2"/>
        <v>1121.5</v>
      </c>
      <c r="M23" s="43">
        <f>((H23+H22)/(G23+G22))*100</f>
        <v>23.785785500640934</v>
      </c>
      <c r="N23" s="43">
        <f t="shared" si="3"/>
        <v>0.3522765038218677</v>
      </c>
      <c r="O23" s="44"/>
    </row>
    <row r="24" spans="1:15" ht="24.75" customHeight="1">
      <c r="A24" s="42">
        <v>7</v>
      </c>
      <c r="B24" s="42" t="s">
        <v>311</v>
      </c>
      <c r="C24" s="42" t="s">
        <v>324</v>
      </c>
      <c r="D24" s="42" t="s">
        <v>313</v>
      </c>
      <c r="E24" s="160">
        <v>6</v>
      </c>
      <c r="F24" s="42" t="s">
        <v>325</v>
      </c>
      <c r="G24" s="42">
        <f>3605*0.85</f>
        <v>3064.25</v>
      </c>
      <c r="H24" s="42">
        <v>1968</v>
      </c>
      <c r="I24" s="159">
        <v>1</v>
      </c>
      <c r="J24" s="159">
        <f>8+2.3</f>
        <v>10.3</v>
      </c>
      <c r="K24" s="159">
        <f t="shared" si="1"/>
        <v>8.755</v>
      </c>
      <c r="L24" s="42">
        <f t="shared" si="2"/>
        <v>1096.25</v>
      </c>
      <c r="M24" s="43">
        <f>((H24+H25)/(G24+G25)*100)</f>
        <v>49.58457959454968</v>
      </c>
      <c r="N24" s="43">
        <f t="shared" si="3"/>
        <v>0.33613445378151263</v>
      </c>
      <c r="O24" s="44"/>
    </row>
    <row r="25" spans="1:15" ht="24.75" customHeight="1">
      <c r="A25" s="42">
        <v>8</v>
      </c>
      <c r="B25" s="42" t="s">
        <v>311</v>
      </c>
      <c r="C25" s="42" t="s">
        <v>326</v>
      </c>
      <c r="D25" s="42" t="s">
        <v>313</v>
      </c>
      <c r="E25" s="160">
        <v>6</v>
      </c>
      <c r="F25" s="45" t="s">
        <v>327</v>
      </c>
      <c r="G25" s="42">
        <f>5245*0.85</f>
        <v>4458.25</v>
      </c>
      <c r="H25" s="42">
        <v>1762</v>
      </c>
      <c r="I25" s="159">
        <f>3+1</f>
        <v>4</v>
      </c>
      <c r="J25" s="218">
        <f>20+100+209.7+100+2.3</f>
        <v>432</v>
      </c>
      <c r="K25" s="159">
        <f t="shared" si="1"/>
        <v>367.2</v>
      </c>
      <c r="L25" s="42">
        <f t="shared" si="2"/>
        <v>2696.25</v>
      </c>
      <c r="M25" s="43">
        <f>((H25+H24)/(G25+G24))*100</f>
        <v>49.58457959454968</v>
      </c>
      <c r="N25" s="43">
        <f t="shared" si="3"/>
        <v>9.689900745808334</v>
      </c>
      <c r="O25" s="44"/>
    </row>
    <row r="26" spans="1:15" ht="24.75" customHeight="1">
      <c r="A26" s="42">
        <v>9</v>
      </c>
      <c r="B26" s="42" t="s">
        <v>311</v>
      </c>
      <c r="C26" s="42" t="s">
        <v>328</v>
      </c>
      <c r="D26" s="42" t="s">
        <v>313</v>
      </c>
      <c r="E26" s="160">
        <v>6</v>
      </c>
      <c r="F26" s="45" t="s">
        <v>329</v>
      </c>
      <c r="G26" s="42">
        <f>2230*0.85</f>
        <v>1895.5</v>
      </c>
      <c r="H26" s="42">
        <v>1560</v>
      </c>
      <c r="I26" s="159"/>
      <c r="J26" s="159">
        <v>2.3</v>
      </c>
      <c r="K26" s="159">
        <f t="shared" si="1"/>
        <v>1.9549999999999998</v>
      </c>
      <c r="L26" s="42">
        <f t="shared" si="2"/>
        <v>335.5</v>
      </c>
      <c r="M26" s="43">
        <f>((H26+H27)/(G26+G27)*100)</f>
        <v>59.591836734693885</v>
      </c>
      <c r="N26" s="43">
        <f t="shared" si="3"/>
        <v>0.12134001582695857</v>
      </c>
      <c r="O26" s="44"/>
    </row>
    <row r="27" spans="1:15" ht="24.75" customHeight="1">
      <c r="A27" s="42">
        <v>10</v>
      </c>
      <c r="B27" s="42" t="s">
        <v>311</v>
      </c>
      <c r="C27" s="42" t="s">
        <v>330</v>
      </c>
      <c r="D27" s="42" t="s">
        <v>313</v>
      </c>
      <c r="E27" s="160">
        <v>6</v>
      </c>
      <c r="F27" s="45" t="s">
        <v>331</v>
      </c>
      <c r="G27" s="42">
        <f>5120*0.85</f>
        <v>4352</v>
      </c>
      <c r="H27" s="42">
        <v>2163</v>
      </c>
      <c r="I27" s="159"/>
      <c r="J27" s="159">
        <v>2.3</v>
      </c>
      <c r="K27" s="159">
        <f t="shared" si="1"/>
        <v>1.9549999999999998</v>
      </c>
      <c r="L27" s="42">
        <f t="shared" si="2"/>
        <v>2189</v>
      </c>
      <c r="M27" s="43">
        <f>((H27+H26)/(G27+G26))*100</f>
        <v>59.591836734693885</v>
      </c>
      <c r="N27" s="43">
        <f t="shared" si="3"/>
        <v>0.05284926470588235</v>
      </c>
      <c r="O27" s="44"/>
    </row>
    <row r="28" spans="1:15" ht="24.75" customHeight="1">
      <c r="A28" s="42">
        <v>11</v>
      </c>
      <c r="B28" s="42" t="s">
        <v>311</v>
      </c>
      <c r="C28" s="42" t="s">
        <v>332</v>
      </c>
      <c r="D28" s="42" t="s">
        <v>313</v>
      </c>
      <c r="E28" s="160">
        <v>6</v>
      </c>
      <c r="F28" s="45" t="s">
        <v>333</v>
      </c>
      <c r="G28" s="42">
        <f>1680*0.85</f>
        <v>1428</v>
      </c>
      <c r="H28" s="42">
        <v>933</v>
      </c>
      <c r="I28" s="159">
        <v>1</v>
      </c>
      <c r="J28" s="159">
        <f>30+2.3</f>
        <v>32.3</v>
      </c>
      <c r="K28" s="159">
        <f t="shared" si="1"/>
        <v>27.455</v>
      </c>
      <c r="L28" s="42">
        <f t="shared" si="2"/>
        <v>495</v>
      </c>
      <c r="M28" s="43">
        <f>((H28+H29)/(G28+G29)*100)</f>
        <v>46.35575345676119</v>
      </c>
      <c r="N28" s="43">
        <f t="shared" si="3"/>
        <v>2.261904761904762</v>
      </c>
      <c r="O28" s="44"/>
    </row>
    <row r="29" spans="1:17" ht="24.75" customHeight="1">
      <c r="A29" s="42">
        <v>12</v>
      </c>
      <c r="B29" s="42" t="s">
        <v>311</v>
      </c>
      <c r="C29" s="42" t="s">
        <v>334</v>
      </c>
      <c r="D29" s="42" t="s">
        <v>313</v>
      </c>
      <c r="E29" s="160">
        <v>6</v>
      </c>
      <c r="F29" s="45" t="s">
        <v>335</v>
      </c>
      <c r="G29" s="42">
        <f>3340*0.85</f>
        <v>2839</v>
      </c>
      <c r="H29" s="42">
        <v>1045</v>
      </c>
      <c r="I29" s="159">
        <v>1</v>
      </c>
      <c r="J29" s="159">
        <f>20+2.6</f>
        <v>22.6</v>
      </c>
      <c r="K29" s="159">
        <f t="shared" si="1"/>
        <v>19.21</v>
      </c>
      <c r="L29" s="42">
        <f t="shared" si="2"/>
        <v>1794</v>
      </c>
      <c r="M29" s="43">
        <f>((H29+H28)/(G29+G28))*100</f>
        <v>46.35575345676119</v>
      </c>
      <c r="N29" s="43">
        <f t="shared" si="3"/>
        <v>0.7960549489256782</v>
      </c>
      <c r="O29" s="44"/>
      <c r="Q29">
        <f>44.4/12</f>
        <v>3.6999999999999997</v>
      </c>
    </row>
    <row r="30" spans="1:15" ht="24.75" customHeight="1">
      <c r="A30" s="42">
        <v>13</v>
      </c>
      <c r="B30" s="42" t="s">
        <v>336</v>
      </c>
      <c r="C30" s="42" t="s">
        <v>337</v>
      </c>
      <c r="D30" s="42" t="s">
        <v>313</v>
      </c>
      <c r="E30" s="160">
        <v>6</v>
      </c>
      <c r="F30" s="45" t="s">
        <v>338</v>
      </c>
      <c r="G30" s="42">
        <f>1780*0.85</f>
        <v>1513</v>
      </c>
      <c r="H30" s="42">
        <v>571.6</v>
      </c>
      <c r="I30" s="159"/>
      <c r="J30" s="159"/>
      <c r="K30" s="159"/>
      <c r="L30" s="42">
        <f t="shared" si="2"/>
        <v>941.4</v>
      </c>
      <c r="M30" s="43">
        <f>((H30+H31)/(G30+G31)*100)</f>
        <v>34.53653521333627</v>
      </c>
      <c r="N30" s="43">
        <f t="shared" si="3"/>
        <v>0</v>
      </c>
      <c r="O30" s="44"/>
    </row>
    <row r="31" spans="1:15" ht="24.75" customHeight="1">
      <c r="A31" s="42">
        <v>14</v>
      </c>
      <c r="B31" s="42" t="s">
        <v>336</v>
      </c>
      <c r="C31" s="42" t="s">
        <v>339</v>
      </c>
      <c r="D31" s="42" t="s">
        <v>313</v>
      </c>
      <c r="E31" s="160">
        <v>6</v>
      </c>
      <c r="F31" s="45" t="s">
        <v>340</v>
      </c>
      <c r="G31" s="42">
        <f>2225*0.85</f>
        <v>1891.25</v>
      </c>
      <c r="H31" s="42">
        <v>604.11</v>
      </c>
      <c r="I31" s="159"/>
      <c r="J31" s="159"/>
      <c r="K31" s="159"/>
      <c r="L31" s="42">
        <f t="shared" si="2"/>
        <v>1287.1399999999999</v>
      </c>
      <c r="M31" s="43">
        <f>((H31+H30)/(G31+G30))*100</f>
        <v>34.53653521333627</v>
      </c>
      <c r="N31" s="43">
        <f t="shared" si="3"/>
        <v>0</v>
      </c>
      <c r="O31" s="44"/>
    </row>
    <row r="32" spans="1:15" ht="24.75" customHeight="1">
      <c r="A32" s="42">
        <v>15</v>
      </c>
      <c r="B32" s="42" t="s">
        <v>341</v>
      </c>
      <c r="C32" s="42" t="s">
        <v>342</v>
      </c>
      <c r="D32" s="42" t="s">
        <v>313</v>
      </c>
      <c r="E32" s="160">
        <v>6</v>
      </c>
      <c r="F32" s="45" t="s">
        <v>343</v>
      </c>
      <c r="G32" s="42">
        <f>880*0.85</f>
        <v>748</v>
      </c>
      <c r="H32" s="42">
        <v>181.31</v>
      </c>
      <c r="I32" s="159"/>
      <c r="J32" s="159"/>
      <c r="K32" s="159"/>
      <c r="L32" s="42">
        <f t="shared" si="2"/>
        <v>566.69</v>
      </c>
      <c r="M32" s="43">
        <f>(H32/G32)*100</f>
        <v>24.239304812834224</v>
      </c>
      <c r="N32" s="43">
        <f t="shared" si="3"/>
        <v>0</v>
      </c>
      <c r="O32" s="44"/>
    </row>
    <row r="33" spans="1:15" ht="24.75" customHeight="1">
      <c r="A33" s="42">
        <v>16</v>
      </c>
      <c r="B33" s="42" t="s">
        <v>344</v>
      </c>
      <c r="C33" s="42" t="s">
        <v>345</v>
      </c>
      <c r="D33" s="42" t="s">
        <v>346</v>
      </c>
      <c r="E33" s="160">
        <v>10</v>
      </c>
      <c r="F33" s="45"/>
      <c r="G33" s="42">
        <v>820</v>
      </c>
      <c r="H33" s="42">
        <v>108</v>
      </c>
      <c r="I33" s="159"/>
      <c r="J33" s="159"/>
      <c r="K33" s="159"/>
      <c r="L33" s="42">
        <f t="shared" si="2"/>
        <v>712</v>
      </c>
      <c r="M33" s="43">
        <f>((H33)/G33)*100</f>
        <v>13.170731707317074</v>
      </c>
      <c r="N33" s="43">
        <f t="shared" si="3"/>
        <v>0</v>
      </c>
      <c r="O33" s="44" t="s">
        <v>347</v>
      </c>
    </row>
    <row r="34" spans="1:15" ht="24.75" customHeight="1">
      <c r="A34" s="42">
        <v>17</v>
      </c>
      <c r="B34" s="42" t="s">
        <v>348</v>
      </c>
      <c r="C34" s="42" t="s">
        <v>349</v>
      </c>
      <c r="D34" s="42" t="s">
        <v>346</v>
      </c>
      <c r="E34" s="160">
        <v>10</v>
      </c>
      <c r="F34" s="45" t="s">
        <v>350</v>
      </c>
      <c r="G34" s="42">
        <f>2740*0.85</f>
        <v>2329</v>
      </c>
      <c r="H34" s="42">
        <v>705</v>
      </c>
      <c r="I34" s="159">
        <v>2</v>
      </c>
      <c r="J34" s="159">
        <v>30</v>
      </c>
      <c r="K34" s="159">
        <f>J34*0.85</f>
        <v>25.5</v>
      </c>
      <c r="L34" s="42">
        <f t="shared" si="2"/>
        <v>1624</v>
      </c>
      <c r="M34" s="43">
        <f>((H34+H35)/(G34+G35)*100)</f>
        <v>29.03796970293134</v>
      </c>
      <c r="N34" s="43">
        <f t="shared" si="3"/>
        <v>1.2881064834693001</v>
      </c>
      <c r="O34" s="44"/>
    </row>
    <row r="35" spans="1:15" ht="24.75" customHeight="1">
      <c r="A35" s="42">
        <v>18</v>
      </c>
      <c r="B35" s="42" t="s">
        <v>348</v>
      </c>
      <c r="C35" s="42" t="s">
        <v>351</v>
      </c>
      <c r="D35" s="42" t="s">
        <v>346</v>
      </c>
      <c r="E35" s="160">
        <v>10</v>
      </c>
      <c r="F35" s="45" t="s">
        <v>352</v>
      </c>
      <c r="G35" s="42">
        <f>250*0.85</f>
        <v>212.5</v>
      </c>
      <c r="H35" s="42">
        <v>33</v>
      </c>
      <c r="I35" s="159">
        <v>1</v>
      </c>
      <c r="J35" s="159">
        <v>2</v>
      </c>
      <c r="K35" s="159">
        <f>J35*0.85</f>
        <v>1.7</v>
      </c>
      <c r="L35" s="42">
        <f t="shared" si="2"/>
        <v>179.5</v>
      </c>
      <c r="M35" s="43">
        <f>((H35+H34)/(G35+G34))*100</f>
        <v>29.03796970293134</v>
      </c>
      <c r="N35" s="43">
        <f t="shared" si="3"/>
        <v>0.9411764705882352</v>
      </c>
      <c r="O35" s="44"/>
    </row>
    <row r="36" spans="1:15" ht="24.75" customHeight="1">
      <c r="A36" s="42">
        <v>19</v>
      </c>
      <c r="B36" s="42" t="s">
        <v>353</v>
      </c>
      <c r="C36" s="42" t="s">
        <v>354</v>
      </c>
      <c r="D36" s="42" t="s">
        <v>346</v>
      </c>
      <c r="E36" s="160">
        <v>10</v>
      </c>
      <c r="F36" s="45" t="s">
        <v>355</v>
      </c>
      <c r="G36" s="42">
        <f>2920*0.85</f>
        <v>2482</v>
      </c>
      <c r="H36" s="42">
        <v>225</v>
      </c>
      <c r="I36" s="159">
        <v>1</v>
      </c>
      <c r="J36" s="159">
        <v>15</v>
      </c>
      <c r="K36" s="159">
        <f>J36*0.85</f>
        <v>12.75</v>
      </c>
      <c r="L36" s="42">
        <f t="shared" si="2"/>
        <v>2257</v>
      </c>
      <c r="M36" s="43">
        <f>(H36/G36)*100</f>
        <v>9.065269943593876</v>
      </c>
      <c r="N36" s="43">
        <f t="shared" si="3"/>
        <v>0.604351329572925</v>
      </c>
      <c r="O36" s="44"/>
    </row>
    <row r="37" spans="1:15" ht="24.75" customHeight="1">
      <c r="A37" s="481" t="s">
        <v>258</v>
      </c>
      <c r="B37" s="482"/>
      <c r="C37" s="482"/>
      <c r="D37" s="482"/>
      <c r="E37" s="482"/>
      <c r="F37" s="483"/>
      <c r="G37" s="215">
        <f aca="true" t="shared" si="4" ref="G37:L37">SUM(G18:G36)</f>
        <v>33438.75</v>
      </c>
      <c r="H37" s="215">
        <f t="shared" si="4"/>
        <v>13453.07</v>
      </c>
      <c r="I37" s="215">
        <f t="shared" si="4"/>
        <v>13</v>
      </c>
      <c r="J37" s="216">
        <f t="shared" si="4"/>
        <v>565.6</v>
      </c>
      <c r="K37" s="216">
        <f t="shared" si="4"/>
        <v>480.75999999999993</v>
      </c>
      <c r="L37" s="215">
        <f t="shared" si="4"/>
        <v>19985.68</v>
      </c>
      <c r="M37" s="216"/>
      <c r="N37" s="215"/>
      <c r="O37" s="44"/>
    </row>
    <row r="38" spans="1:18" ht="58.5" customHeight="1">
      <c r="A38" s="459" t="s">
        <v>157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16"/>
      <c r="N38" s="219"/>
      <c r="R38" s="166"/>
    </row>
    <row r="39" spans="1:13" ht="12" customHeight="1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16"/>
    </row>
    <row r="40" spans="1:12" ht="47.25" customHeight="1">
      <c r="A40" s="459" t="s">
        <v>80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</row>
    <row r="41" spans="1:12" ht="47.25" customHeight="1">
      <c r="A41" s="459" t="s">
        <v>230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</row>
    <row r="42" spans="1:12" ht="12" customHeight="1">
      <c r="A42" s="477"/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</row>
  </sheetData>
  <sheetProtection/>
  <mergeCells count="21">
    <mergeCell ref="A1:L1"/>
    <mergeCell ref="A40:L40"/>
    <mergeCell ref="A38:L38"/>
    <mergeCell ref="A39:L39"/>
    <mergeCell ref="A3:A4"/>
    <mergeCell ref="B3:B4"/>
    <mergeCell ref="A17:O17"/>
    <mergeCell ref="A41:L41"/>
    <mergeCell ref="A42:L42"/>
    <mergeCell ref="I8:I13"/>
    <mergeCell ref="A16:F16"/>
    <mergeCell ref="A37:F37"/>
    <mergeCell ref="I18:I22"/>
    <mergeCell ref="A2:L2"/>
    <mergeCell ref="C3:C4"/>
    <mergeCell ref="D3:D4"/>
    <mergeCell ref="I3:K3"/>
    <mergeCell ref="J8:J13"/>
    <mergeCell ref="L8:L13"/>
    <mergeCell ref="K8:K13"/>
    <mergeCell ref="A6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X22"/>
  <sheetViews>
    <sheetView zoomScale="65" zoomScaleNormal="65"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4" sqref="G14"/>
    </sheetView>
  </sheetViews>
  <sheetFormatPr defaultColWidth="9.140625" defaultRowHeight="15"/>
  <cols>
    <col min="1" max="1" width="6.8515625" style="0" customWidth="1"/>
    <col min="2" max="2" width="94.00390625" style="0" customWidth="1"/>
    <col min="3" max="3" width="9.140625" style="0" customWidth="1"/>
    <col min="4" max="4" width="9.140625" style="23" customWidth="1"/>
    <col min="5" max="5" width="11.7109375" style="0" customWidth="1"/>
    <col min="7" max="7" width="9.140625" style="23" customWidth="1"/>
    <col min="8" max="8" width="10.8515625" style="0" customWidth="1"/>
    <col min="18" max="18" width="18.140625" style="0" bestFit="1" customWidth="1"/>
    <col min="19" max="19" width="12.140625" style="0" customWidth="1"/>
    <col min="20" max="20" width="9.7109375" style="0" customWidth="1"/>
    <col min="21" max="21" width="10.421875" style="0" customWidth="1"/>
    <col min="23" max="23" width="9.421875" style="0" customWidth="1"/>
    <col min="26" max="26" width="9.57421875" style="0" customWidth="1"/>
    <col min="27" max="27" width="10.00390625" style="0" customWidth="1"/>
    <col min="34" max="34" width="11.140625" style="0" customWidth="1"/>
    <col min="35" max="35" width="11.28125" style="0" customWidth="1"/>
    <col min="36" max="36" width="11.421875" style="0" customWidth="1"/>
    <col min="38" max="38" width="9.421875" style="0" bestFit="1" customWidth="1"/>
    <col min="39" max="39" width="10.28125" style="0" customWidth="1"/>
    <col min="42" max="42" width="11.140625" style="0" bestFit="1" customWidth="1"/>
    <col min="43" max="43" width="10.00390625" style="0" customWidth="1"/>
    <col min="50" max="50" width="12.7109375" style="0" customWidth="1"/>
  </cols>
  <sheetData>
    <row r="1" spans="1:25" ht="30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18" ht="21" thickBot="1">
      <c r="A2" s="49"/>
      <c r="B2" s="50"/>
      <c r="C2" s="50"/>
      <c r="D2" s="51"/>
      <c r="E2" s="50"/>
      <c r="F2" s="50"/>
      <c r="G2" s="5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50" ht="20.25" customHeight="1">
      <c r="A3" s="489" t="s">
        <v>10</v>
      </c>
      <c r="B3" s="498" t="s">
        <v>11</v>
      </c>
      <c r="C3" s="491" t="s">
        <v>249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3"/>
      <c r="S3" s="500" t="s">
        <v>250</v>
      </c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3"/>
      <c r="AI3" s="500" t="s">
        <v>310</v>
      </c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3"/>
    </row>
    <row r="4" spans="1:50" ht="42.75" customHeight="1">
      <c r="A4" s="490"/>
      <c r="B4" s="499"/>
      <c r="C4" s="495" t="s">
        <v>63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501" t="s">
        <v>308</v>
      </c>
      <c r="S4" s="497" t="s">
        <v>63</v>
      </c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504" t="s">
        <v>309</v>
      </c>
      <c r="AI4" s="497" t="s">
        <v>63</v>
      </c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504" t="s">
        <v>309</v>
      </c>
    </row>
    <row r="5" spans="1:50" ht="37.5" customHeight="1">
      <c r="A5" s="490"/>
      <c r="B5" s="499"/>
      <c r="C5" s="495" t="s">
        <v>64</v>
      </c>
      <c r="D5" s="496"/>
      <c r="E5" s="496"/>
      <c r="F5" s="496" t="s">
        <v>65</v>
      </c>
      <c r="G5" s="496"/>
      <c r="H5" s="496"/>
      <c r="I5" s="496" t="s">
        <v>66</v>
      </c>
      <c r="J5" s="496"/>
      <c r="K5" s="496"/>
      <c r="L5" s="496" t="s">
        <v>67</v>
      </c>
      <c r="M5" s="496"/>
      <c r="N5" s="496"/>
      <c r="O5" s="496" t="s">
        <v>68</v>
      </c>
      <c r="P5" s="496"/>
      <c r="Q5" s="496"/>
      <c r="R5" s="502"/>
      <c r="S5" s="497" t="s">
        <v>64</v>
      </c>
      <c r="T5" s="494"/>
      <c r="U5" s="494"/>
      <c r="V5" s="494" t="s">
        <v>65</v>
      </c>
      <c r="W5" s="494"/>
      <c r="X5" s="494"/>
      <c r="Y5" s="494" t="s">
        <v>66</v>
      </c>
      <c r="Z5" s="494"/>
      <c r="AA5" s="494"/>
      <c r="AB5" s="494" t="s">
        <v>67</v>
      </c>
      <c r="AC5" s="494"/>
      <c r="AD5" s="494"/>
      <c r="AE5" s="494" t="s">
        <v>68</v>
      </c>
      <c r="AF5" s="494"/>
      <c r="AG5" s="494"/>
      <c r="AH5" s="505"/>
      <c r="AI5" s="497" t="s">
        <v>64</v>
      </c>
      <c r="AJ5" s="494"/>
      <c r="AK5" s="494"/>
      <c r="AL5" s="494" t="s">
        <v>65</v>
      </c>
      <c r="AM5" s="494"/>
      <c r="AN5" s="494"/>
      <c r="AO5" s="494" t="s">
        <v>66</v>
      </c>
      <c r="AP5" s="494"/>
      <c r="AQ5" s="494"/>
      <c r="AR5" s="494" t="s">
        <v>67</v>
      </c>
      <c r="AS5" s="494"/>
      <c r="AT5" s="494"/>
      <c r="AU5" s="494" t="s">
        <v>68</v>
      </c>
      <c r="AV5" s="494"/>
      <c r="AW5" s="494"/>
      <c r="AX5" s="505"/>
    </row>
    <row r="6" spans="1:50" ht="131.25">
      <c r="A6" s="490"/>
      <c r="B6" s="499"/>
      <c r="C6" s="62">
        <v>2014</v>
      </c>
      <c r="D6" s="134">
        <v>2015</v>
      </c>
      <c r="E6" s="54" t="s">
        <v>69</v>
      </c>
      <c r="F6" s="54">
        <v>2014</v>
      </c>
      <c r="G6" s="54">
        <v>2015</v>
      </c>
      <c r="H6" s="54" t="s">
        <v>69</v>
      </c>
      <c r="I6" s="54">
        <v>2014</v>
      </c>
      <c r="J6" s="54">
        <v>2015</v>
      </c>
      <c r="K6" s="54" t="s">
        <v>69</v>
      </c>
      <c r="L6" s="54">
        <v>2014</v>
      </c>
      <c r="M6" s="54">
        <v>2015</v>
      </c>
      <c r="N6" s="54" t="s">
        <v>69</v>
      </c>
      <c r="O6" s="54">
        <v>2014</v>
      </c>
      <c r="P6" s="54">
        <v>2015</v>
      </c>
      <c r="Q6" s="54" t="s">
        <v>69</v>
      </c>
      <c r="R6" s="503"/>
      <c r="S6" s="62">
        <v>2014</v>
      </c>
      <c r="T6" s="54">
        <v>2015</v>
      </c>
      <c r="U6" s="54" t="s">
        <v>69</v>
      </c>
      <c r="V6" s="54">
        <v>2014</v>
      </c>
      <c r="W6" s="54">
        <v>2015</v>
      </c>
      <c r="X6" s="54" t="s">
        <v>69</v>
      </c>
      <c r="Y6" s="54">
        <v>2014</v>
      </c>
      <c r="Z6" s="54">
        <v>2015</v>
      </c>
      <c r="AA6" s="54" t="s">
        <v>69</v>
      </c>
      <c r="AB6" s="54">
        <v>2014</v>
      </c>
      <c r="AC6" s="54">
        <v>2015</v>
      </c>
      <c r="AD6" s="54" t="s">
        <v>69</v>
      </c>
      <c r="AE6" s="54">
        <v>2014</v>
      </c>
      <c r="AF6" s="54">
        <v>2015</v>
      </c>
      <c r="AG6" s="54" t="s">
        <v>69</v>
      </c>
      <c r="AH6" s="506"/>
      <c r="AI6" s="62">
        <v>2014</v>
      </c>
      <c r="AJ6" s="54">
        <v>2015</v>
      </c>
      <c r="AK6" s="54" t="s">
        <v>69</v>
      </c>
      <c r="AL6" s="54">
        <v>2014</v>
      </c>
      <c r="AM6" s="54">
        <v>2015</v>
      </c>
      <c r="AN6" s="54" t="s">
        <v>69</v>
      </c>
      <c r="AO6" s="54">
        <v>2014</v>
      </c>
      <c r="AP6" s="54">
        <v>2015</v>
      </c>
      <c r="AQ6" s="54" t="s">
        <v>69</v>
      </c>
      <c r="AR6" s="54">
        <v>2014</v>
      </c>
      <c r="AS6" s="54">
        <v>2015</v>
      </c>
      <c r="AT6" s="54" t="s">
        <v>69</v>
      </c>
      <c r="AU6" s="54">
        <v>2014</v>
      </c>
      <c r="AV6" s="54">
        <v>2015</v>
      </c>
      <c r="AW6" s="54" t="s">
        <v>69</v>
      </c>
      <c r="AX6" s="506"/>
    </row>
    <row r="7" spans="1:50" ht="18.75">
      <c r="A7" s="62">
        <v>1</v>
      </c>
      <c r="B7" s="65">
        <v>2</v>
      </c>
      <c r="C7" s="62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66">
        <v>18</v>
      </c>
      <c r="S7" s="63">
        <v>19</v>
      </c>
      <c r="T7" s="64">
        <v>20</v>
      </c>
      <c r="U7" s="64">
        <v>21</v>
      </c>
      <c r="V7" s="64">
        <v>22</v>
      </c>
      <c r="W7" s="64">
        <v>23</v>
      </c>
      <c r="X7" s="64">
        <v>24</v>
      </c>
      <c r="Y7" s="64">
        <v>25</v>
      </c>
      <c r="Z7" s="64">
        <v>26</v>
      </c>
      <c r="AA7" s="64">
        <v>27</v>
      </c>
      <c r="AB7" s="64">
        <v>28</v>
      </c>
      <c r="AC7" s="64">
        <v>29</v>
      </c>
      <c r="AD7" s="64">
        <v>30</v>
      </c>
      <c r="AE7" s="64">
        <v>31</v>
      </c>
      <c r="AF7" s="64">
        <v>32</v>
      </c>
      <c r="AG7" s="64">
        <v>33</v>
      </c>
      <c r="AH7" s="67">
        <v>34</v>
      </c>
      <c r="AI7" s="63">
        <v>19</v>
      </c>
      <c r="AJ7" s="64">
        <v>20</v>
      </c>
      <c r="AK7" s="64">
        <v>21</v>
      </c>
      <c r="AL7" s="64">
        <v>22</v>
      </c>
      <c r="AM7" s="64">
        <v>23</v>
      </c>
      <c r="AN7" s="64">
        <v>24</v>
      </c>
      <c r="AO7" s="64">
        <v>25</v>
      </c>
      <c r="AP7" s="64">
        <v>26</v>
      </c>
      <c r="AQ7" s="64">
        <v>27</v>
      </c>
      <c r="AR7" s="64">
        <v>28</v>
      </c>
      <c r="AS7" s="64">
        <v>29</v>
      </c>
      <c r="AT7" s="64">
        <v>30</v>
      </c>
      <c r="AU7" s="64">
        <v>31</v>
      </c>
      <c r="AV7" s="64">
        <v>32</v>
      </c>
      <c r="AW7" s="64">
        <v>33</v>
      </c>
      <c r="AX7" s="67">
        <v>34</v>
      </c>
    </row>
    <row r="8" spans="1:50" ht="40.5" customHeight="1">
      <c r="A8" s="55">
        <v>1</v>
      </c>
      <c r="B8" s="58" t="s">
        <v>70</v>
      </c>
      <c r="C8" s="71">
        <v>18</v>
      </c>
      <c r="D8" s="72">
        <v>7</v>
      </c>
      <c r="E8" s="81">
        <f>D8/C8</f>
        <v>0.3888888888888889</v>
      </c>
      <c r="F8" s="70">
        <v>3</v>
      </c>
      <c r="G8" s="72">
        <v>6</v>
      </c>
      <c r="H8" s="82">
        <f>G8/F8</f>
        <v>2</v>
      </c>
      <c r="I8" s="70">
        <v>1</v>
      </c>
      <c r="J8" s="70"/>
      <c r="K8" s="70"/>
      <c r="L8" s="70"/>
      <c r="M8" s="70"/>
      <c r="N8" s="70"/>
      <c r="O8" s="70"/>
      <c r="P8" s="70"/>
      <c r="Q8" s="70"/>
      <c r="R8" s="73">
        <f>D8+G8+J8+M8+P8</f>
        <v>13</v>
      </c>
      <c r="S8" s="74">
        <v>20</v>
      </c>
      <c r="T8" s="75">
        <v>37</v>
      </c>
      <c r="U8" s="83">
        <f>T8/S8</f>
        <v>1.85</v>
      </c>
      <c r="V8" s="75">
        <v>4</v>
      </c>
      <c r="W8" s="75">
        <v>8</v>
      </c>
      <c r="X8" s="83">
        <f>W8/V8</f>
        <v>2</v>
      </c>
      <c r="Y8" s="75">
        <v>3</v>
      </c>
      <c r="Z8" s="75">
        <v>1</v>
      </c>
      <c r="AA8" s="83">
        <f>Z8/Y8</f>
        <v>0.3333333333333333</v>
      </c>
      <c r="AB8" s="75"/>
      <c r="AC8" s="75"/>
      <c r="AD8" s="75"/>
      <c r="AE8" s="75"/>
      <c r="AF8" s="75"/>
      <c r="AG8" s="75"/>
      <c r="AH8" s="73">
        <f>T8+W8+Z8+AC8+AF8</f>
        <v>46</v>
      </c>
      <c r="AI8" s="77">
        <f>C8+S8</f>
        <v>38</v>
      </c>
      <c r="AJ8" s="77">
        <f>D8+T8</f>
        <v>44</v>
      </c>
      <c r="AK8" s="84">
        <f>AJ8/AI8</f>
        <v>1.1578947368421053</v>
      </c>
      <c r="AL8" s="77">
        <f>F8+V8</f>
        <v>7</v>
      </c>
      <c r="AM8" s="77">
        <f>G8+W8</f>
        <v>14</v>
      </c>
      <c r="AN8" s="84">
        <f>AM8/AL8</f>
        <v>2</v>
      </c>
      <c r="AO8" s="77">
        <f>I8+Y8</f>
        <v>4</v>
      </c>
      <c r="AP8" s="77">
        <f>J8+Z8</f>
        <v>1</v>
      </c>
      <c r="AQ8" s="84">
        <f>AP8/AO8</f>
        <v>0.25</v>
      </c>
      <c r="AR8" s="77">
        <f>L8+AB8</f>
        <v>0</v>
      </c>
      <c r="AS8" s="77">
        <f>M8+AC8</f>
        <v>0</v>
      </c>
      <c r="AT8" s="78"/>
      <c r="AU8" s="77">
        <f>O8+AE8</f>
        <v>0</v>
      </c>
      <c r="AV8" s="77">
        <f>P8+AF8</f>
        <v>0</v>
      </c>
      <c r="AW8" s="78"/>
      <c r="AX8" s="73">
        <f>AJ8+AM8+AP8+AS8+AV8</f>
        <v>59</v>
      </c>
    </row>
    <row r="9" spans="1:50" ht="60.75" customHeight="1">
      <c r="A9" s="55">
        <v>2</v>
      </c>
      <c r="B9" s="59" t="s">
        <v>198</v>
      </c>
      <c r="C9" s="71">
        <v>18</v>
      </c>
      <c r="D9" s="72">
        <v>7</v>
      </c>
      <c r="E9" s="81">
        <f aca="true" t="shared" si="0" ref="E9:E19">D9/C9</f>
        <v>0.3888888888888889</v>
      </c>
      <c r="F9" s="70">
        <v>3</v>
      </c>
      <c r="G9" s="72">
        <v>6</v>
      </c>
      <c r="H9" s="82">
        <f aca="true" t="shared" si="1" ref="H9:H19">G9/F9</f>
        <v>2</v>
      </c>
      <c r="I9" s="70">
        <v>1</v>
      </c>
      <c r="J9" s="70"/>
      <c r="K9" s="70"/>
      <c r="L9" s="70"/>
      <c r="M9" s="70"/>
      <c r="N9" s="70"/>
      <c r="O9" s="70"/>
      <c r="P9" s="70"/>
      <c r="Q9" s="70"/>
      <c r="R9" s="73">
        <f>D9+G9+J9+M9+P9</f>
        <v>13</v>
      </c>
      <c r="S9" s="74">
        <v>20</v>
      </c>
      <c r="T9" s="75">
        <v>37</v>
      </c>
      <c r="U9" s="83">
        <f aca="true" t="shared" si="2" ref="U9:U19">T9/S9</f>
        <v>1.85</v>
      </c>
      <c r="V9" s="75">
        <v>4</v>
      </c>
      <c r="W9" s="75">
        <v>8</v>
      </c>
      <c r="X9" s="83">
        <f aca="true" t="shared" si="3" ref="X9:X19">W9/V9</f>
        <v>2</v>
      </c>
      <c r="Y9" s="75">
        <v>3</v>
      </c>
      <c r="Z9" s="75">
        <v>1</v>
      </c>
      <c r="AA9" s="83">
        <f aca="true" t="shared" si="4" ref="AA9:AA19">Z9/Y9</f>
        <v>0.3333333333333333</v>
      </c>
      <c r="AB9" s="75"/>
      <c r="AC9" s="75">
        <v>0</v>
      </c>
      <c r="AD9" s="75"/>
      <c r="AE9" s="75">
        <v>0</v>
      </c>
      <c r="AF9" s="75">
        <v>0</v>
      </c>
      <c r="AG9" s="75"/>
      <c r="AH9" s="73">
        <f aca="true" t="shared" si="5" ref="AH9:AH18">T9+W9+Z9+AC9+AF9</f>
        <v>46</v>
      </c>
      <c r="AI9" s="77">
        <f aca="true" t="shared" si="6" ref="AI9:AI18">C9+S9</f>
        <v>38</v>
      </c>
      <c r="AJ9" s="77">
        <f aca="true" t="shared" si="7" ref="AJ9:AJ18">D9+T9</f>
        <v>44</v>
      </c>
      <c r="AK9" s="84">
        <f aca="true" t="shared" si="8" ref="AK9:AK19">AJ9/AI9</f>
        <v>1.1578947368421053</v>
      </c>
      <c r="AL9" s="77">
        <f aca="true" t="shared" si="9" ref="AL9:AL18">F9+V9</f>
        <v>7</v>
      </c>
      <c r="AM9" s="77">
        <f aca="true" t="shared" si="10" ref="AM9:AM18">G9+W9</f>
        <v>14</v>
      </c>
      <c r="AN9" s="84">
        <f aca="true" t="shared" si="11" ref="AN9:AN19">AM9/AL9</f>
        <v>2</v>
      </c>
      <c r="AO9" s="77">
        <f aca="true" t="shared" si="12" ref="AO9:AO18">I9+Y9</f>
        <v>4</v>
      </c>
      <c r="AP9" s="77">
        <f aca="true" t="shared" si="13" ref="AP9:AP18">J9+Z9</f>
        <v>1</v>
      </c>
      <c r="AQ9" s="84">
        <f aca="true" t="shared" si="14" ref="AQ9:AQ15">AP9/AO9</f>
        <v>0.25</v>
      </c>
      <c r="AR9" s="77">
        <f aca="true" t="shared" si="15" ref="AR9:AR18">L9+AB9</f>
        <v>0</v>
      </c>
      <c r="AS9" s="77">
        <f aca="true" t="shared" si="16" ref="AS9:AS18">M9+AC9</f>
        <v>0</v>
      </c>
      <c r="AT9" s="78"/>
      <c r="AU9" s="77">
        <f aca="true" t="shared" si="17" ref="AU9:AU18">O9+AE9</f>
        <v>0</v>
      </c>
      <c r="AV9" s="77">
        <f aca="true" t="shared" si="18" ref="AV9:AV18">P9+AF9</f>
        <v>0</v>
      </c>
      <c r="AW9" s="78"/>
      <c r="AX9" s="73">
        <f aca="true" t="shared" si="19" ref="AX9:AX18">AJ9+AM9+AP9+AS9+AV9</f>
        <v>59</v>
      </c>
    </row>
    <row r="10" spans="1:50" ht="106.5" customHeight="1">
      <c r="A10" s="55">
        <v>3</v>
      </c>
      <c r="B10" s="59" t="s">
        <v>199</v>
      </c>
      <c r="C10" s="71">
        <v>0</v>
      </c>
      <c r="D10" s="72">
        <v>0</v>
      </c>
      <c r="E10" s="81"/>
      <c r="F10" s="70">
        <v>0</v>
      </c>
      <c r="G10" s="72">
        <v>0</v>
      </c>
      <c r="H10" s="82"/>
      <c r="I10" s="70">
        <v>0</v>
      </c>
      <c r="J10" s="70"/>
      <c r="K10" s="70"/>
      <c r="L10" s="70"/>
      <c r="M10" s="70"/>
      <c r="N10" s="70"/>
      <c r="O10" s="70"/>
      <c r="P10" s="70"/>
      <c r="Q10" s="70"/>
      <c r="R10" s="73">
        <f aca="true" t="shared" si="20" ref="R10:R18">D10+G10+J10+M10+P10</f>
        <v>0</v>
      </c>
      <c r="S10" s="74">
        <v>0</v>
      </c>
      <c r="T10" s="75">
        <v>0</v>
      </c>
      <c r="U10" s="83"/>
      <c r="V10" s="75">
        <v>0</v>
      </c>
      <c r="W10" s="75"/>
      <c r="X10" s="83"/>
      <c r="Y10" s="75">
        <v>0</v>
      </c>
      <c r="Z10" s="75"/>
      <c r="AA10" s="83"/>
      <c r="AB10" s="75"/>
      <c r="AC10" s="75">
        <v>0</v>
      </c>
      <c r="AD10" s="75"/>
      <c r="AE10" s="75">
        <v>0</v>
      </c>
      <c r="AF10" s="75">
        <v>0</v>
      </c>
      <c r="AG10" s="75"/>
      <c r="AH10" s="73">
        <f t="shared" si="5"/>
        <v>0</v>
      </c>
      <c r="AI10" s="77">
        <f t="shared" si="6"/>
        <v>0</v>
      </c>
      <c r="AJ10" s="77">
        <f t="shared" si="7"/>
        <v>0</v>
      </c>
      <c r="AK10" s="84"/>
      <c r="AL10" s="77">
        <f t="shared" si="9"/>
        <v>0</v>
      </c>
      <c r="AM10" s="77">
        <f t="shared" si="10"/>
        <v>0</v>
      </c>
      <c r="AN10" s="84"/>
      <c r="AO10" s="77">
        <f t="shared" si="12"/>
        <v>0</v>
      </c>
      <c r="AP10" s="77">
        <f t="shared" si="13"/>
        <v>0</v>
      </c>
      <c r="AQ10" s="84"/>
      <c r="AR10" s="77">
        <f t="shared" si="15"/>
        <v>0</v>
      </c>
      <c r="AS10" s="77">
        <f t="shared" si="16"/>
        <v>0</v>
      </c>
      <c r="AT10" s="78"/>
      <c r="AU10" s="77">
        <f t="shared" si="17"/>
        <v>0</v>
      </c>
      <c r="AV10" s="77">
        <f t="shared" si="18"/>
        <v>0</v>
      </c>
      <c r="AW10" s="78"/>
      <c r="AX10" s="73">
        <f t="shared" si="19"/>
        <v>0</v>
      </c>
    </row>
    <row r="11" spans="1:50" ht="27" customHeight="1">
      <c r="A11" s="56" t="s">
        <v>36</v>
      </c>
      <c r="B11" s="60" t="s">
        <v>71</v>
      </c>
      <c r="C11" s="76"/>
      <c r="D11" s="72"/>
      <c r="E11" s="81"/>
      <c r="F11" s="72"/>
      <c r="G11" s="72"/>
      <c r="H11" s="82"/>
      <c r="I11" s="72"/>
      <c r="J11" s="70"/>
      <c r="K11" s="70"/>
      <c r="L11" s="70"/>
      <c r="M11" s="70"/>
      <c r="N11" s="70"/>
      <c r="O11" s="70"/>
      <c r="P11" s="70"/>
      <c r="Q11" s="70"/>
      <c r="R11" s="73">
        <f t="shared" si="20"/>
        <v>0</v>
      </c>
      <c r="S11" s="74"/>
      <c r="T11" s="75"/>
      <c r="U11" s="83"/>
      <c r="V11" s="75"/>
      <c r="W11" s="75"/>
      <c r="X11" s="83"/>
      <c r="Y11" s="75"/>
      <c r="Z11" s="75"/>
      <c r="AA11" s="83"/>
      <c r="AB11" s="75"/>
      <c r="AC11" s="75"/>
      <c r="AD11" s="75"/>
      <c r="AE11" s="75"/>
      <c r="AF11" s="75"/>
      <c r="AG11" s="75"/>
      <c r="AH11" s="73">
        <f t="shared" si="5"/>
        <v>0</v>
      </c>
      <c r="AI11" s="77">
        <f t="shared" si="6"/>
        <v>0</v>
      </c>
      <c r="AJ11" s="77">
        <f t="shared" si="7"/>
        <v>0</v>
      </c>
      <c r="AK11" s="84"/>
      <c r="AL11" s="77">
        <f t="shared" si="9"/>
        <v>0</v>
      </c>
      <c r="AM11" s="77">
        <f t="shared" si="10"/>
        <v>0</v>
      </c>
      <c r="AN11" s="84"/>
      <c r="AO11" s="77">
        <f t="shared" si="12"/>
        <v>0</v>
      </c>
      <c r="AP11" s="77">
        <f t="shared" si="13"/>
        <v>0</v>
      </c>
      <c r="AQ11" s="84"/>
      <c r="AR11" s="77">
        <f t="shared" si="15"/>
        <v>0</v>
      </c>
      <c r="AS11" s="77">
        <f t="shared" si="16"/>
        <v>0</v>
      </c>
      <c r="AT11" s="78"/>
      <c r="AU11" s="77">
        <f t="shared" si="17"/>
        <v>0</v>
      </c>
      <c r="AV11" s="77">
        <f t="shared" si="18"/>
        <v>0</v>
      </c>
      <c r="AW11" s="78"/>
      <c r="AX11" s="73">
        <f t="shared" si="19"/>
        <v>0</v>
      </c>
    </row>
    <row r="12" spans="1:50" ht="23.25">
      <c r="A12" s="56" t="s">
        <v>37</v>
      </c>
      <c r="B12" s="60" t="s">
        <v>72</v>
      </c>
      <c r="C12" s="76"/>
      <c r="D12" s="72"/>
      <c r="E12" s="81"/>
      <c r="F12" s="72"/>
      <c r="G12" s="72"/>
      <c r="H12" s="82"/>
      <c r="I12" s="72"/>
      <c r="J12" s="70"/>
      <c r="K12" s="70"/>
      <c r="L12" s="70"/>
      <c r="M12" s="70"/>
      <c r="N12" s="70"/>
      <c r="O12" s="70"/>
      <c r="P12" s="70"/>
      <c r="Q12" s="70"/>
      <c r="R12" s="73">
        <f t="shared" si="20"/>
        <v>0</v>
      </c>
      <c r="S12" s="74"/>
      <c r="T12" s="75"/>
      <c r="U12" s="83"/>
      <c r="V12" s="75"/>
      <c r="W12" s="75"/>
      <c r="X12" s="83"/>
      <c r="Y12" s="75"/>
      <c r="Z12" s="75"/>
      <c r="AA12" s="83"/>
      <c r="AB12" s="75"/>
      <c r="AC12" s="75"/>
      <c r="AD12" s="75"/>
      <c r="AE12" s="75"/>
      <c r="AF12" s="75"/>
      <c r="AG12" s="75"/>
      <c r="AH12" s="73">
        <f t="shared" si="5"/>
        <v>0</v>
      </c>
      <c r="AI12" s="77">
        <f t="shared" si="6"/>
        <v>0</v>
      </c>
      <c r="AJ12" s="77">
        <f t="shared" si="7"/>
        <v>0</v>
      </c>
      <c r="AK12" s="84"/>
      <c r="AL12" s="77">
        <f t="shared" si="9"/>
        <v>0</v>
      </c>
      <c r="AM12" s="77">
        <f t="shared" si="10"/>
        <v>0</v>
      </c>
      <c r="AN12" s="84"/>
      <c r="AO12" s="77">
        <f t="shared" si="12"/>
        <v>0</v>
      </c>
      <c r="AP12" s="77">
        <f t="shared" si="13"/>
        <v>0</v>
      </c>
      <c r="AQ12" s="84"/>
      <c r="AR12" s="77">
        <f t="shared" si="15"/>
        <v>0</v>
      </c>
      <c r="AS12" s="77">
        <f t="shared" si="16"/>
        <v>0</v>
      </c>
      <c r="AT12" s="78"/>
      <c r="AU12" s="77">
        <f t="shared" si="17"/>
        <v>0</v>
      </c>
      <c r="AV12" s="77">
        <f t="shared" si="18"/>
        <v>0</v>
      </c>
      <c r="AW12" s="78"/>
      <c r="AX12" s="73">
        <f t="shared" si="19"/>
        <v>0</v>
      </c>
    </row>
    <row r="13" spans="1:50" ht="78.75" customHeight="1">
      <c r="A13" s="55">
        <v>4</v>
      </c>
      <c r="B13" s="59" t="s">
        <v>200</v>
      </c>
      <c r="C13" s="76">
        <v>10</v>
      </c>
      <c r="D13" s="72">
        <v>10</v>
      </c>
      <c r="E13" s="81">
        <f t="shared" si="0"/>
        <v>1</v>
      </c>
      <c r="F13" s="70">
        <v>10</v>
      </c>
      <c r="G13" s="72">
        <v>10</v>
      </c>
      <c r="H13" s="82">
        <f t="shared" si="1"/>
        <v>1</v>
      </c>
      <c r="I13" s="70">
        <v>5</v>
      </c>
      <c r="J13" s="70"/>
      <c r="K13" s="70"/>
      <c r="L13" s="70"/>
      <c r="M13" s="70"/>
      <c r="N13" s="70"/>
      <c r="O13" s="70"/>
      <c r="P13" s="70"/>
      <c r="Q13" s="70"/>
      <c r="R13" s="133">
        <f>((D13*D9)+(G13*G9))/(D9+G9)</f>
        <v>10</v>
      </c>
      <c r="S13" s="74">
        <v>10</v>
      </c>
      <c r="T13" s="75">
        <v>10</v>
      </c>
      <c r="U13" s="83">
        <f t="shared" si="2"/>
        <v>1</v>
      </c>
      <c r="V13" s="75">
        <v>7</v>
      </c>
      <c r="W13" s="75">
        <v>10</v>
      </c>
      <c r="X13" s="83">
        <f t="shared" si="3"/>
        <v>1.4285714285714286</v>
      </c>
      <c r="Y13" s="75">
        <v>15</v>
      </c>
      <c r="Z13" s="75">
        <v>15</v>
      </c>
      <c r="AA13" s="83">
        <f t="shared" si="4"/>
        <v>1</v>
      </c>
      <c r="AB13" s="75"/>
      <c r="AC13" s="75"/>
      <c r="AD13" s="75"/>
      <c r="AE13" s="75"/>
      <c r="AF13" s="75"/>
      <c r="AG13" s="75"/>
      <c r="AH13" s="133">
        <f>((T13*T9)+(W13*W9)+(Z13*Z9))/(T9+W9+Z9)</f>
        <v>10.108695652173912</v>
      </c>
      <c r="AI13" s="231">
        <f>((C13*C9)+(S13*S9))/(C9+S9)</f>
        <v>10</v>
      </c>
      <c r="AJ13" s="231">
        <f>((D13*D9)+(T13*T9))/(D9+T9)</f>
        <v>10</v>
      </c>
      <c r="AK13" s="84">
        <f t="shared" si="8"/>
        <v>1</v>
      </c>
      <c r="AL13" s="231">
        <f>((F13*F9)+(V13*V9))/(F9+V9)</f>
        <v>8.285714285714286</v>
      </c>
      <c r="AM13" s="231">
        <f>((G13*G9)+(W13*W9))/(G9+W9)</f>
        <v>10</v>
      </c>
      <c r="AN13" s="84">
        <f t="shared" si="11"/>
        <v>1.206896551724138</v>
      </c>
      <c r="AO13" s="231">
        <f>((I13*I9)+(Y13*Y9))/(I9+Y9)</f>
        <v>12.5</v>
      </c>
      <c r="AP13" s="231">
        <f>((J13*J9)+(Z13*Z9))/(J9+Z9)</f>
        <v>15</v>
      </c>
      <c r="AQ13" s="84">
        <f t="shared" si="14"/>
        <v>1.2</v>
      </c>
      <c r="AR13" s="77">
        <f t="shared" si="15"/>
        <v>0</v>
      </c>
      <c r="AS13" s="77">
        <f t="shared" si="16"/>
        <v>0</v>
      </c>
      <c r="AT13" s="78"/>
      <c r="AU13" s="77">
        <f t="shared" si="17"/>
        <v>0</v>
      </c>
      <c r="AV13" s="77">
        <f t="shared" si="18"/>
        <v>0</v>
      </c>
      <c r="AW13" s="78"/>
      <c r="AX13" s="133">
        <f>((R13*R9)+(AH13*AH9))/(R9+AH9)</f>
        <v>10.084745762711865</v>
      </c>
    </row>
    <row r="14" spans="1:50" ht="54.75" customHeight="1">
      <c r="A14" s="55">
        <v>5</v>
      </c>
      <c r="B14" s="59" t="s">
        <v>73</v>
      </c>
      <c r="C14" s="71">
        <v>17</v>
      </c>
      <c r="D14" s="72">
        <v>7</v>
      </c>
      <c r="E14" s="81">
        <f t="shared" si="0"/>
        <v>0.4117647058823529</v>
      </c>
      <c r="F14" s="70">
        <v>2</v>
      </c>
      <c r="G14" s="72">
        <v>5</v>
      </c>
      <c r="H14" s="82">
        <f t="shared" si="1"/>
        <v>2.5</v>
      </c>
      <c r="I14" s="70">
        <v>1</v>
      </c>
      <c r="J14" s="70"/>
      <c r="K14" s="70"/>
      <c r="L14" s="70"/>
      <c r="M14" s="70"/>
      <c r="N14" s="70"/>
      <c r="O14" s="70"/>
      <c r="P14" s="70"/>
      <c r="Q14" s="70"/>
      <c r="R14" s="73">
        <f>D14+G14+J14+M14+P14</f>
        <v>12</v>
      </c>
      <c r="S14" s="74">
        <v>20</v>
      </c>
      <c r="T14" s="75">
        <v>37</v>
      </c>
      <c r="U14" s="83">
        <f t="shared" si="2"/>
        <v>1.85</v>
      </c>
      <c r="V14" s="75">
        <v>3</v>
      </c>
      <c r="W14" s="75">
        <v>8</v>
      </c>
      <c r="X14" s="83">
        <f t="shared" si="3"/>
        <v>2.6666666666666665</v>
      </c>
      <c r="Y14" s="75">
        <v>2</v>
      </c>
      <c r="Z14" s="75">
        <v>1</v>
      </c>
      <c r="AA14" s="83">
        <f t="shared" si="4"/>
        <v>0.5</v>
      </c>
      <c r="AB14" s="75"/>
      <c r="AC14" s="75"/>
      <c r="AD14" s="75"/>
      <c r="AE14" s="75"/>
      <c r="AF14" s="75"/>
      <c r="AG14" s="75"/>
      <c r="AH14" s="73">
        <f t="shared" si="5"/>
        <v>46</v>
      </c>
      <c r="AI14" s="77">
        <f t="shared" si="6"/>
        <v>37</v>
      </c>
      <c r="AJ14" s="77">
        <f t="shared" si="7"/>
        <v>44</v>
      </c>
      <c r="AK14" s="84">
        <f t="shared" si="8"/>
        <v>1.1891891891891893</v>
      </c>
      <c r="AL14" s="77">
        <f t="shared" si="9"/>
        <v>5</v>
      </c>
      <c r="AM14" s="77">
        <f t="shared" si="10"/>
        <v>13</v>
      </c>
      <c r="AN14" s="84">
        <f t="shared" si="11"/>
        <v>2.6</v>
      </c>
      <c r="AO14" s="77">
        <f t="shared" si="12"/>
        <v>3</v>
      </c>
      <c r="AP14" s="77">
        <f t="shared" si="13"/>
        <v>1</v>
      </c>
      <c r="AQ14" s="84">
        <f t="shared" si="14"/>
        <v>0.3333333333333333</v>
      </c>
      <c r="AR14" s="77">
        <f t="shared" si="15"/>
        <v>0</v>
      </c>
      <c r="AS14" s="77">
        <f t="shared" si="16"/>
        <v>0</v>
      </c>
      <c r="AT14" s="78"/>
      <c r="AU14" s="77">
        <f t="shared" si="17"/>
        <v>0</v>
      </c>
      <c r="AV14" s="77">
        <f t="shared" si="18"/>
        <v>0</v>
      </c>
      <c r="AW14" s="78"/>
      <c r="AX14" s="73" t="s">
        <v>565</v>
      </c>
    </row>
    <row r="15" spans="1:50" ht="52.5" customHeight="1">
      <c r="A15" s="55">
        <v>6</v>
      </c>
      <c r="B15" s="59" t="s">
        <v>74</v>
      </c>
      <c r="C15" s="71">
        <v>12</v>
      </c>
      <c r="D15" s="72">
        <f>4+2+1</f>
        <v>7</v>
      </c>
      <c r="E15" s="81">
        <f t="shared" si="0"/>
        <v>0.5833333333333334</v>
      </c>
      <c r="F15" s="70">
        <v>1</v>
      </c>
      <c r="G15" s="72">
        <v>5</v>
      </c>
      <c r="H15" s="82">
        <f t="shared" si="1"/>
        <v>5</v>
      </c>
      <c r="I15" s="70">
        <v>0</v>
      </c>
      <c r="J15" s="72">
        <v>1</v>
      </c>
      <c r="K15" s="70"/>
      <c r="L15" s="70"/>
      <c r="M15" s="70"/>
      <c r="N15" s="70"/>
      <c r="O15" s="70"/>
      <c r="P15" s="70"/>
      <c r="Q15" s="70"/>
      <c r="R15" s="73">
        <f>D15+G15+J15+M15+P15</f>
        <v>13</v>
      </c>
      <c r="S15" s="74">
        <v>19</v>
      </c>
      <c r="T15" s="75">
        <v>41</v>
      </c>
      <c r="U15" s="83">
        <f t="shared" si="2"/>
        <v>2.1578947368421053</v>
      </c>
      <c r="V15" s="75">
        <v>3</v>
      </c>
      <c r="W15" s="75">
        <v>15</v>
      </c>
      <c r="X15" s="83">
        <f t="shared" si="3"/>
        <v>5</v>
      </c>
      <c r="Y15" s="75">
        <v>0</v>
      </c>
      <c r="Z15" s="75">
        <v>3</v>
      </c>
      <c r="AA15" s="83" t="e">
        <f t="shared" si="4"/>
        <v>#DIV/0!</v>
      </c>
      <c r="AB15" s="75">
        <v>0</v>
      </c>
      <c r="AC15" s="75">
        <v>0</v>
      </c>
      <c r="AD15" s="75"/>
      <c r="AE15" s="75">
        <v>0</v>
      </c>
      <c r="AF15" s="75">
        <v>0</v>
      </c>
      <c r="AG15" s="75"/>
      <c r="AH15" s="73">
        <f t="shared" si="5"/>
        <v>59</v>
      </c>
      <c r="AI15" s="77">
        <f t="shared" si="6"/>
        <v>31</v>
      </c>
      <c r="AJ15" s="77">
        <f t="shared" si="7"/>
        <v>48</v>
      </c>
      <c r="AK15" s="84">
        <f t="shared" si="8"/>
        <v>1.5483870967741935</v>
      </c>
      <c r="AL15" s="77">
        <f t="shared" si="9"/>
        <v>4</v>
      </c>
      <c r="AM15" s="77">
        <f t="shared" si="10"/>
        <v>20</v>
      </c>
      <c r="AN15" s="84">
        <f t="shared" si="11"/>
        <v>5</v>
      </c>
      <c r="AO15" s="77">
        <f t="shared" si="12"/>
        <v>0</v>
      </c>
      <c r="AP15" s="77">
        <f t="shared" si="13"/>
        <v>4</v>
      </c>
      <c r="AQ15" s="84" t="e">
        <f t="shared" si="14"/>
        <v>#DIV/0!</v>
      </c>
      <c r="AR15" s="77">
        <f t="shared" si="15"/>
        <v>0</v>
      </c>
      <c r="AS15" s="77">
        <f t="shared" si="16"/>
        <v>0</v>
      </c>
      <c r="AT15" s="78"/>
      <c r="AU15" s="77">
        <f t="shared" si="17"/>
        <v>0</v>
      </c>
      <c r="AV15" s="77">
        <f t="shared" si="18"/>
        <v>0</v>
      </c>
      <c r="AW15" s="78"/>
      <c r="AX15" s="73">
        <f t="shared" si="19"/>
        <v>72</v>
      </c>
    </row>
    <row r="16" spans="1:50" ht="111" customHeight="1">
      <c r="A16" s="55">
        <v>7</v>
      </c>
      <c r="B16" s="59" t="s">
        <v>201</v>
      </c>
      <c r="C16" s="71">
        <v>0</v>
      </c>
      <c r="D16" s="72">
        <v>0</v>
      </c>
      <c r="E16" s="81"/>
      <c r="F16" s="70">
        <v>0</v>
      </c>
      <c r="G16" s="72">
        <v>0</v>
      </c>
      <c r="H16" s="82"/>
      <c r="I16" s="70">
        <v>0</v>
      </c>
      <c r="J16" s="70"/>
      <c r="K16" s="70"/>
      <c r="L16" s="70"/>
      <c r="M16" s="70"/>
      <c r="N16" s="70"/>
      <c r="O16" s="70"/>
      <c r="P16" s="70"/>
      <c r="Q16" s="70"/>
      <c r="R16" s="73">
        <f t="shared" si="20"/>
        <v>0</v>
      </c>
      <c r="S16" s="74">
        <v>0</v>
      </c>
      <c r="T16" s="75">
        <v>0</v>
      </c>
      <c r="U16" s="83"/>
      <c r="V16" s="75">
        <v>0</v>
      </c>
      <c r="W16" s="75">
        <v>0</v>
      </c>
      <c r="X16" s="83"/>
      <c r="Y16" s="75">
        <v>0</v>
      </c>
      <c r="Z16" s="75">
        <v>0</v>
      </c>
      <c r="AA16" s="83"/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3">
        <f t="shared" si="5"/>
        <v>0</v>
      </c>
      <c r="AI16" s="77">
        <f t="shared" si="6"/>
        <v>0</v>
      </c>
      <c r="AJ16" s="77">
        <f t="shared" si="7"/>
        <v>0</v>
      </c>
      <c r="AK16" s="84"/>
      <c r="AL16" s="77">
        <f t="shared" si="9"/>
        <v>0</v>
      </c>
      <c r="AM16" s="77">
        <f t="shared" si="10"/>
        <v>0</v>
      </c>
      <c r="AN16" s="84"/>
      <c r="AO16" s="77">
        <f t="shared" si="12"/>
        <v>0</v>
      </c>
      <c r="AP16" s="77">
        <f t="shared" si="13"/>
        <v>0</v>
      </c>
      <c r="AQ16" s="84"/>
      <c r="AR16" s="77">
        <f t="shared" si="15"/>
        <v>0</v>
      </c>
      <c r="AS16" s="77">
        <f t="shared" si="16"/>
        <v>0</v>
      </c>
      <c r="AT16" s="78">
        <v>0</v>
      </c>
      <c r="AU16" s="77">
        <f t="shared" si="17"/>
        <v>0</v>
      </c>
      <c r="AV16" s="77">
        <f t="shared" si="18"/>
        <v>0</v>
      </c>
      <c r="AW16" s="78">
        <v>0</v>
      </c>
      <c r="AX16" s="73">
        <f t="shared" si="19"/>
        <v>0</v>
      </c>
    </row>
    <row r="17" spans="1:50" ht="23.25">
      <c r="A17" s="56" t="s">
        <v>83</v>
      </c>
      <c r="B17" s="59" t="s">
        <v>71</v>
      </c>
      <c r="C17" s="71"/>
      <c r="D17" s="72"/>
      <c r="E17" s="81"/>
      <c r="F17" s="70"/>
      <c r="G17" s="72"/>
      <c r="H17" s="82"/>
      <c r="I17" s="70"/>
      <c r="J17" s="70"/>
      <c r="K17" s="70"/>
      <c r="L17" s="70"/>
      <c r="M17" s="70"/>
      <c r="N17" s="70"/>
      <c r="O17" s="70"/>
      <c r="P17" s="70"/>
      <c r="Q17" s="70"/>
      <c r="R17" s="73">
        <f t="shared" si="20"/>
        <v>0</v>
      </c>
      <c r="S17" s="74"/>
      <c r="T17" s="75"/>
      <c r="U17" s="83"/>
      <c r="V17" s="75"/>
      <c r="W17" s="75"/>
      <c r="X17" s="83"/>
      <c r="Y17" s="75"/>
      <c r="Z17" s="75"/>
      <c r="AA17" s="83"/>
      <c r="AB17" s="75"/>
      <c r="AC17" s="75"/>
      <c r="AD17" s="75"/>
      <c r="AE17" s="75"/>
      <c r="AF17" s="75"/>
      <c r="AG17" s="75"/>
      <c r="AH17" s="73">
        <f t="shared" si="5"/>
        <v>0</v>
      </c>
      <c r="AI17" s="77">
        <f t="shared" si="6"/>
        <v>0</v>
      </c>
      <c r="AJ17" s="77">
        <f t="shared" si="7"/>
        <v>0</v>
      </c>
      <c r="AK17" s="84"/>
      <c r="AL17" s="77">
        <f t="shared" si="9"/>
        <v>0</v>
      </c>
      <c r="AM17" s="77">
        <f t="shared" si="10"/>
        <v>0</v>
      </c>
      <c r="AN17" s="84"/>
      <c r="AO17" s="77">
        <f t="shared" si="12"/>
        <v>0</v>
      </c>
      <c r="AP17" s="77">
        <f t="shared" si="13"/>
        <v>0</v>
      </c>
      <c r="AQ17" s="84"/>
      <c r="AR17" s="77">
        <f t="shared" si="15"/>
        <v>0</v>
      </c>
      <c r="AS17" s="77">
        <f t="shared" si="16"/>
        <v>0</v>
      </c>
      <c r="AT17" s="78"/>
      <c r="AU17" s="77">
        <f t="shared" si="17"/>
        <v>0</v>
      </c>
      <c r="AV17" s="77">
        <f t="shared" si="18"/>
        <v>0</v>
      </c>
      <c r="AW17" s="78"/>
      <c r="AX17" s="73">
        <f t="shared" si="19"/>
        <v>0</v>
      </c>
    </row>
    <row r="18" spans="1:50" ht="23.25">
      <c r="A18" s="56" t="s">
        <v>84</v>
      </c>
      <c r="B18" s="59" t="s">
        <v>75</v>
      </c>
      <c r="C18" s="71"/>
      <c r="D18" s="72"/>
      <c r="E18" s="81"/>
      <c r="F18" s="70"/>
      <c r="G18" s="72"/>
      <c r="H18" s="82"/>
      <c r="I18" s="70"/>
      <c r="J18" s="70"/>
      <c r="K18" s="70"/>
      <c r="L18" s="70"/>
      <c r="M18" s="70"/>
      <c r="N18" s="70"/>
      <c r="O18" s="70"/>
      <c r="P18" s="70"/>
      <c r="Q18" s="70"/>
      <c r="R18" s="73">
        <f t="shared" si="20"/>
        <v>0</v>
      </c>
      <c r="S18" s="74"/>
      <c r="T18" s="75"/>
      <c r="U18" s="83"/>
      <c r="V18" s="75"/>
      <c r="W18" s="75"/>
      <c r="X18" s="83"/>
      <c r="Y18" s="75"/>
      <c r="Z18" s="75"/>
      <c r="AA18" s="83"/>
      <c r="AB18" s="75"/>
      <c r="AC18" s="75"/>
      <c r="AD18" s="75"/>
      <c r="AE18" s="75"/>
      <c r="AF18" s="75"/>
      <c r="AG18" s="75"/>
      <c r="AH18" s="73">
        <f t="shared" si="5"/>
        <v>0</v>
      </c>
      <c r="AI18" s="77">
        <f t="shared" si="6"/>
        <v>0</v>
      </c>
      <c r="AJ18" s="77">
        <f t="shared" si="7"/>
        <v>0</v>
      </c>
      <c r="AK18" s="84"/>
      <c r="AL18" s="77">
        <f t="shared" si="9"/>
        <v>0</v>
      </c>
      <c r="AM18" s="77">
        <f t="shared" si="10"/>
        <v>0</v>
      </c>
      <c r="AN18" s="84"/>
      <c r="AO18" s="77">
        <f t="shared" si="12"/>
        <v>0</v>
      </c>
      <c r="AP18" s="77">
        <f t="shared" si="13"/>
        <v>0</v>
      </c>
      <c r="AQ18" s="84"/>
      <c r="AR18" s="77">
        <f t="shared" si="15"/>
        <v>0</v>
      </c>
      <c r="AS18" s="77">
        <f t="shared" si="16"/>
        <v>0</v>
      </c>
      <c r="AT18" s="78"/>
      <c r="AU18" s="77">
        <f t="shared" si="17"/>
        <v>0</v>
      </c>
      <c r="AV18" s="77">
        <f t="shared" si="18"/>
        <v>0</v>
      </c>
      <c r="AW18" s="78"/>
      <c r="AX18" s="73">
        <f t="shared" si="19"/>
        <v>0</v>
      </c>
    </row>
    <row r="19" spans="1:50" ht="63" customHeight="1" thickBot="1">
      <c r="A19" s="57">
        <v>8</v>
      </c>
      <c r="B19" s="61" t="s">
        <v>202</v>
      </c>
      <c r="C19" s="232">
        <f>1208/53</f>
        <v>22.79245283018868</v>
      </c>
      <c r="D19" s="233">
        <f>1998/99</f>
        <v>20.181818181818183</v>
      </c>
      <c r="E19" s="85">
        <f t="shared" si="0"/>
        <v>0.8854605659241421</v>
      </c>
      <c r="F19" s="233">
        <v>144</v>
      </c>
      <c r="G19" s="69">
        <f>962/5</f>
        <v>192.4</v>
      </c>
      <c r="H19" s="86">
        <f t="shared" si="1"/>
        <v>1.3361111111111112</v>
      </c>
      <c r="I19" s="68">
        <v>0</v>
      </c>
      <c r="J19" s="69">
        <v>605</v>
      </c>
      <c r="K19" s="68"/>
      <c r="L19" s="68"/>
      <c r="M19" s="68"/>
      <c r="N19" s="68"/>
      <c r="O19" s="68"/>
      <c r="P19" s="68"/>
      <c r="Q19" s="68"/>
      <c r="R19" s="135">
        <f>(1998+962+605)/105</f>
        <v>33.95238095238095</v>
      </c>
      <c r="S19" s="234">
        <f>749/19</f>
        <v>39.421052631578945</v>
      </c>
      <c r="T19" s="165">
        <f>3046/44</f>
        <v>69.22727272727273</v>
      </c>
      <c r="U19" s="163">
        <f t="shared" si="2"/>
        <v>1.7560990411457704</v>
      </c>
      <c r="V19" s="165">
        <f>485/5</f>
        <v>97</v>
      </c>
      <c r="W19" s="165">
        <f>547/12</f>
        <v>45.583333333333336</v>
      </c>
      <c r="X19" s="163">
        <f t="shared" si="3"/>
        <v>0.4699312714776633</v>
      </c>
      <c r="Y19" s="164">
        <v>0</v>
      </c>
      <c r="Z19" s="164">
        <f>1156/3</f>
        <v>385.3333333333333</v>
      </c>
      <c r="AA19" s="163" t="e">
        <f t="shared" si="4"/>
        <v>#DIV/0!</v>
      </c>
      <c r="AB19" s="164"/>
      <c r="AC19" s="164"/>
      <c r="AD19" s="164"/>
      <c r="AE19" s="164"/>
      <c r="AF19" s="164"/>
      <c r="AG19" s="164"/>
      <c r="AH19" s="87">
        <f>(3046+547+1156)/59</f>
        <v>80.49152542372882</v>
      </c>
      <c r="AI19" s="167">
        <f>(1208+749)/72</f>
        <v>27.180555555555557</v>
      </c>
      <c r="AJ19" s="167">
        <f>(3046+1998)/143</f>
        <v>35.27272727272727</v>
      </c>
      <c r="AK19" s="88">
        <f t="shared" si="8"/>
        <v>1.29771914340131</v>
      </c>
      <c r="AL19" s="167">
        <f>(144+485)/6</f>
        <v>104.83333333333333</v>
      </c>
      <c r="AM19" s="167">
        <f>(547+962)/17</f>
        <v>88.76470588235294</v>
      </c>
      <c r="AN19" s="88">
        <f t="shared" si="11"/>
        <v>0.8467221546806323</v>
      </c>
      <c r="AO19" s="79">
        <v>0</v>
      </c>
      <c r="AP19" s="79">
        <f>(1156+605)/4</f>
        <v>440.25</v>
      </c>
      <c r="AQ19" s="88"/>
      <c r="AR19" s="79"/>
      <c r="AS19" s="79"/>
      <c r="AT19" s="80"/>
      <c r="AU19" s="79"/>
      <c r="AV19" s="79"/>
      <c r="AW19" s="80"/>
      <c r="AX19" s="87">
        <f>(3046+1998+547+962+1156+605)/164</f>
        <v>50.69512195121951</v>
      </c>
    </row>
    <row r="20" spans="1:18" ht="20.25">
      <c r="A20" s="49"/>
      <c r="B20" s="50"/>
      <c r="C20" s="50"/>
      <c r="D20" s="51"/>
      <c r="E20" s="50"/>
      <c r="F20" s="50"/>
      <c r="G20" s="5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50" ht="20.25">
      <c r="A21" s="50"/>
      <c r="B21" s="50"/>
      <c r="C21" s="50"/>
      <c r="D21" s="51"/>
      <c r="E21" s="50"/>
      <c r="F21" s="50"/>
      <c r="G21" s="5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AM21" s="166"/>
      <c r="AX21" s="168"/>
    </row>
    <row r="22" spans="1:18" ht="21">
      <c r="A22" s="52"/>
      <c r="B22" s="52"/>
      <c r="C22" s="52"/>
      <c r="D22" s="53"/>
      <c r="E22" s="52"/>
      <c r="F22" s="52"/>
      <c r="G22" s="53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</sheetData>
  <sheetProtection/>
  <mergeCells count="26">
    <mergeCell ref="AI3:AX3"/>
    <mergeCell ref="AI4:AW4"/>
    <mergeCell ref="AX4:AX6"/>
    <mergeCell ref="AI5:AK5"/>
    <mergeCell ref="AL5:AN5"/>
    <mergeCell ref="AO5:AQ5"/>
    <mergeCell ref="S5:U5"/>
    <mergeCell ref="V5:X5"/>
    <mergeCell ref="AR5:AT5"/>
    <mergeCell ref="AU5:AW5"/>
    <mergeCell ref="B3:B6"/>
    <mergeCell ref="O5:Q5"/>
    <mergeCell ref="AE5:AG5"/>
    <mergeCell ref="S3:AH3"/>
    <mergeCell ref="R4:R6"/>
    <mergeCell ref="AH4:AH6"/>
    <mergeCell ref="A3:A6"/>
    <mergeCell ref="C3:R3"/>
    <mergeCell ref="Y5:AA5"/>
    <mergeCell ref="AB5:AD5"/>
    <mergeCell ref="C4:Q4"/>
    <mergeCell ref="C5:E5"/>
    <mergeCell ref="F5:H5"/>
    <mergeCell ref="I5:K5"/>
    <mergeCell ref="L5:N5"/>
    <mergeCell ref="S4:AG4"/>
  </mergeCells>
  <printOptions/>
  <pageMargins left="0.7" right="0.7" top="0.75" bottom="0.75" header="0.3" footer="0.3"/>
  <pageSetup fitToHeight="0" fitToWidth="2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U37"/>
  <sheetViews>
    <sheetView zoomScale="65" zoomScaleNormal="65" zoomScalePageLayoutView="0" workbookViewId="0" topLeftCell="A1">
      <selection activeCell="G34" sqref="G34"/>
    </sheetView>
  </sheetViews>
  <sheetFormatPr defaultColWidth="9.140625" defaultRowHeight="15"/>
  <cols>
    <col min="1" max="1" width="10.8515625" style="0" customWidth="1"/>
    <col min="2" max="2" width="83.7109375" style="0" customWidth="1"/>
    <col min="3" max="3" width="7.00390625" style="0" customWidth="1"/>
    <col min="4" max="4" width="7.140625" style="0" customWidth="1"/>
    <col min="5" max="5" width="12.421875" style="0" customWidth="1"/>
    <col min="6" max="6" width="9.421875" style="0" customWidth="1"/>
    <col min="7" max="7" width="8.140625" style="0" customWidth="1"/>
    <col min="8" max="8" width="11.8515625" style="0" customWidth="1"/>
    <col min="9" max="9" width="9.00390625" style="0" customWidth="1"/>
    <col min="10" max="10" width="8.28125" style="0" customWidth="1"/>
    <col min="11" max="11" width="12.7109375" style="0" customWidth="1"/>
    <col min="12" max="13" width="7.00390625" style="0" customWidth="1"/>
    <col min="14" max="14" width="12.421875" style="0" customWidth="1"/>
    <col min="15" max="16" width="7.00390625" style="0" customWidth="1"/>
    <col min="17" max="17" width="12.140625" style="0" customWidth="1"/>
    <col min="20" max="20" width="12.00390625" style="0" customWidth="1"/>
    <col min="21" max="22" width="10.00390625" style="0" bestFit="1" customWidth="1"/>
    <col min="23" max="23" width="11.28125" style="0" customWidth="1"/>
    <col min="26" max="26" width="10.7109375" style="0" customWidth="1"/>
    <col min="33" max="33" width="11.57421875" style="0" bestFit="1" customWidth="1"/>
    <col min="35" max="35" width="10.7109375" style="0" customWidth="1"/>
    <col min="37" max="37" width="13.00390625" style="0" customWidth="1"/>
    <col min="38" max="38" width="11.57421875" style="0" customWidth="1"/>
    <col min="39" max="39" width="13.7109375" style="0" customWidth="1"/>
    <col min="40" max="40" width="13.57421875" style="0" customWidth="1"/>
    <col min="41" max="41" width="12.00390625" style="0" customWidth="1"/>
  </cols>
  <sheetData>
    <row r="1" spans="1:17" ht="21">
      <c r="A1" s="507" t="s">
        <v>85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</row>
    <row r="2" spans="1:17" ht="21">
      <c r="A2" s="9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15.5" customHeight="1" thickBot="1">
      <c r="A3" s="508" t="s">
        <v>86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47" ht="18.75">
      <c r="A4" s="518" t="s">
        <v>10</v>
      </c>
      <c r="B4" s="515" t="s">
        <v>87</v>
      </c>
      <c r="C4" s="512" t="s">
        <v>249</v>
      </c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4"/>
      <c r="R4" s="512" t="s">
        <v>250</v>
      </c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4"/>
      <c r="AG4" s="512" t="s">
        <v>254</v>
      </c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4"/>
    </row>
    <row r="5" spans="1:47" ht="33" customHeight="1">
      <c r="A5" s="519"/>
      <c r="B5" s="516"/>
      <c r="C5" s="509" t="s">
        <v>88</v>
      </c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1"/>
      <c r="R5" s="509" t="s">
        <v>88</v>
      </c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1"/>
      <c r="AG5" s="509" t="s">
        <v>88</v>
      </c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1"/>
    </row>
    <row r="6" spans="1:47" ht="66.75" customHeight="1">
      <c r="A6" s="519"/>
      <c r="B6" s="516"/>
      <c r="C6" s="509" t="s">
        <v>89</v>
      </c>
      <c r="D6" s="510"/>
      <c r="E6" s="510"/>
      <c r="F6" s="510" t="s">
        <v>90</v>
      </c>
      <c r="G6" s="510"/>
      <c r="H6" s="510"/>
      <c r="I6" s="510" t="s">
        <v>91</v>
      </c>
      <c r="J6" s="510"/>
      <c r="K6" s="510"/>
      <c r="L6" s="510" t="s">
        <v>92</v>
      </c>
      <c r="M6" s="510"/>
      <c r="N6" s="510"/>
      <c r="O6" s="510" t="s">
        <v>93</v>
      </c>
      <c r="P6" s="510"/>
      <c r="Q6" s="511"/>
      <c r="R6" s="509" t="s">
        <v>89</v>
      </c>
      <c r="S6" s="510"/>
      <c r="T6" s="510"/>
      <c r="U6" s="510" t="s">
        <v>90</v>
      </c>
      <c r="V6" s="510"/>
      <c r="W6" s="510"/>
      <c r="X6" s="510" t="s">
        <v>91</v>
      </c>
      <c r="Y6" s="510"/>
      <c r="Z6" s="510"/>
      <c r="AA6" s="510" t="s">
        <v>92</v>
      </c>
      <c r="AB6" s="510"/>
      <c r="AC6" s="510"/>
      <c r="AD6" s="510" t="s">
        <v>93</v>
      </c>
      <c r="AE6" s="510"/>
      <c r="AF6" s="511"/>
      <c r="AG6" s="509" t="s">
        <v>89</v>
      </c>
      <c r="AH6" s="510"/>
      <c r="AI6" s="510"/>
      <c r="AJ6" s="510" t="s">
        <v>90</v>
      </c>
      <c r="AK6" s="510"/>
      <c r="AL6" s="510"/>
      <c r="AM6" s="510" t="s">
        <v>91</v>
      </c>
      <c r="AN6" s="510"/>
      <c r="AO6" s="510"/>
      <c r="AP6" s="510" t="s">
        <v>92</v>
      </c>
      <c r="AQ6" s="510"/>
      <c r="AR6" s="510"/>
      <c r="AS6" s="510" t="s">
        <v>93</v>
      </c>
      <c r="AT6" s="510"/>
      <c r="AU6" s="511"/>
    </row>
    <row r="7" spans="1:47" ht="80.25" customHeight="1">
      <c r="A7" s="520"/>
      <c r="B7" s="517"/>
      <c r="C7" s="110">
        <v>2014</v>
      </c>
      <c r="D7" s="89">
        <v>2015</v>
      </c>
      <c r="E7" s="90" t="s">
        <v>69</v>
      </c>
      <c r="F7" s="89">
        <v>2014</v>
      </c>
      <c r="G7" s="89">
        <v>2015</v>
      </c>
      <c r="H7" s="90" t="s">
        <v>69</v>
      </c>
      <c r="I7" s="89">
        <v>2014</v>
      </c>
      <c r="J7" s="89">
        <v>2015</v>
      </c>
      <c r="K7" s="90" t="s">
        <v>69</v>
      </c>
      <c r="L7" s="89">
        <v>2014</v>
      </c>
      <c r="M7" s="89">
        <v>2015</v>
      </c>
      <c r="N7" s="90" t="s">
        <v>69</v>
      </c>
      <c r="O7" s="89">
        <v>2014</v>
      </c>
      <c r="P7" s="89">
        <v>2015</v>
      </c>
      <c r="Q7" s="97" t="s">
        <v>69</v>
      </c>
      <c r="R7" s="110">
        <v>2014</v>
      </c>
      <c r="S7" s="89">
        <v>2015</v>
      </c>
      <c r="T7" s="90" t="s">
        <v>69</v>
      </c>
      <c r="U7" s="89">
        <v>2014</v>
      </c>
      <c r="V7" s="89">
        <v>2015</v>
      </c>
      <c r="W7" s="90" t="s">
        <v>69</v>
      </c>
      <c r="X7" s="89">
        <v>2014</v>
      </c>
      <c r="Y7" s="89">
        <v>2015</v>
      </c>
      <c r="Z7" s="90" t="s">
        <v>69</v>
      </c>
      <c r="AA7" s="89">
        <v>2014</v>
      </c>
      <c r="AB7" s="89">
        <v>2015</v>
      </c>
      <c r="AC7" s="90" t="s">
        <v>69</v>
      </c>
      <c r="AD7" s="89">
        <v>2014</v>
      </c>
      <c r="AE7" s="89">
        <v>2015</v>
      </c>
      <c r="AF7" s="97" t="s">
        <v>69</v>
      </c>
      <c r="AG7" s="110">
        <v>2014</v>
      </c>
      <c r="AH7" s="89">
        <v>2015</v>
      </c>
      <c r="AI7" s="90" t="s">
        <v>69</v>
      </c>
      <c r="AJ7" s="89">
        <v>2014</v>
      </c>
      <c r="AK7" s="89">
        <v>2015</v>
      </c>
      <c r="AL7" s="90" t="s">
        <v>69</v>
      </c>
      <c r="AM7" s="89">
        <v>2014</v>
      </c>
      <c r="AN7" s="89">
        <v>2015</v>
      </c>
      <c r="AO7" s="90" t="s">
        <v>69</v>
      </c>
      <c r="AP7" s="89">
        <v>2014</v>
      </c>
      <c r="AQ7" s="89">
        <v>2015</v>
      </c>
      <c r="AR7" s="90" t="s">
        <v>69</v>
      </c>
      <c r="AS7" s="89">
        <v>2014</v>
      </c>
      <c r="AT7" s="89">
        <v>2015</v>
      </c>
      <c r="AU7" s="97" t="s">
        <v>69</v>
      </c>
    </row>
    <row r="8" spans="1:47" ht="18.75">
      <c r="A8" s="98">
        <v>1</v>
      </c>
      <c r="B8" s="108">
        <v>2</v>
      </c>
      <c r="C8" s="98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  <c r="O8" s="90">
        <v>15</v>
      </c>
      <c r="P8" s="90">
        <v>16</v>
      </c>
      <c r="Q8" s="97">
        <v>17</v>
      </c>
      <c r="R8" s="98">
        <v>18</v>
      </c>
      <c r="S8" s="90">
        <v>19</v>
      </c>
      <c r="T8" s="90">
        <v>20</v>
      </c>
      <c r="U8" s="90">
        <v>21</v>
      </c>
      <c r="V8" s="90">
        <v>22</v>
      </c>
      <c r="W8" s="90">
        <v>23</v>
      </c>
      <c r="X8" s="90">
        <v>24</v>
      </c>
      <c r="Y8" s="90">
        <v>25</v>
      </c>
      <c r="Z8" s="90">
        <v>26</v>
      </c>
      <c r="AA8" s="90">
        <v>27</v>
      </c>
      <c r="AB8" s="90">
        <v>28</v>
      </c>
      <c r="AC8" s="90">
        <v>29</v>
      </c>
      <c r="AD8" s="90">
        <v>30</v>
      </c>
      <c r="AE8" s="90">
        <v>31</v>
      </c>
      <c r="AF8" s="97">
        <v>32</v>
      </c>
      <c r="AG8" s="98">
        <v>33</v>
      </c>
      <c r="AH8" s="90">
        <v>34</v>
      </c>
      <c r="AI8" s="90">
        <v>35</v>
      </c>
      <c r="AJ8" s="90">
        <v>36</v>
      </c>
      <c r="AK8" s="90">
        <v>37</v>
      </c>
      <c r="AL8" s="90">
        <v>38</v>
      </c>
      <c r="AM8" s="90">
        <v>39</v>
      </c>
      <c r="AN8" s="90">
        <v>40</v>
      </c>
      <c r="AO8" s="90">
        <v>41</v>
      </c>
      <c r="AP8" s="90">
        <v>42</v>
      </c>
      <c r="AQ8" s="90">
        <v>43</v>
      </c>
      <c r="AR8" s="90">
        <v>44</v>
      </c>
      <c r="AS8" s="90">
        <v>45</v>
      </c>
      <c r="AT8" s="90">
        <v>46</v>
      </c>
      <c r="AU8" s="97">
        <v>47</v>
      </c>
    </row>
    <row r="9" spans="1:47" ht="24.75" customHeight="1">
      <c r="A9" s="55">
        <v>1</v>
      </c>
      <c r="B9" s="59" t="s">
        <v>94</v>
      </c>
      <c r="C9" s="111">
        <f>SUM(C10:C15)</f>
        <v>65</v>
      </c>
      <c r="D9" s="92">
        <f>SUM(D10:D15)</f>
        <v>44</v>
      </c>
      <c r="E9" s="93">
        <f>D9/C9</f>
        <v>0.676923076923077</v>
      </c>
      <c r="F9" s="94">
        <f>SUM(F10:F15)</f>
        <v>38</v>
      </c>
      <c r="G9" s="94">
        <f>SUM(G10:G15)</f>
        <v>10</v>
      </c>
      <c r="H9" s="93">
        <f>G9/F9</f>
        <v>0.2631578947368421</v>
      </c>
      <c r="I9" s="94">
        <f>SUM(I10:I15)</f>
        <v>4</v>
      </c>
      <c r="J9" s="94">
        <f>SUM(J10:J15)</f>
        <v>3</v>
      </c>
      <c r="K9" s="93">
        <f>J9/I9</f>
        <v>0.75</v>
      </c>
      <c r="L9" s="94">
        <f>SUM(L10:L15)</f>
        <v>0</v>
      </c>
      <c r="M9" s="94">
        <f>SUM(M10:M15)</f>
        <v>0</v>
      </c>
      <c r="N9" s="94" t="s">
        <v>168</v>
      </c>
      <c r="O9" s="94">
        <f>SUM(O10:O15)</f>
        <v>0</v>
      </c>
      <c r="P9" s="94">
        <f>SUM(P10:P15)</f>
        <v>0</v>
      </c>
      <c r="Q9" s="99" t="s">
        <v>168</v>
      </c>
      <c r="R9" s="124">
        <f>SUM(R10:R15)</f>
        <v>50</v>
      </c>
      <c r="S9" s="125">
        <f>SUM(S10:S15)</f>
        <v>84</v>
      </c>
      <c r="T9" s="119">
        <f>S9/R9</f>
        <v>1.68</v>
      </c>
      <c r="U9" s="120">
        <f>SUM(U10:U15)</f>
        <v>14</v>
      </c>
      <c r="V9" s="120">
        <f>SUM(V10:V15)</f>
        <v>15</v>
      </c>
      <c r="W9" s="119">
        <f>V9/U9</f>
        <v>1.0714285714285714</v>
      </c>
      <c r="X9" s="120" t="s">
        <v>168</v>
      </c>
      <c r="Y9" s="120" t="s">
        <v>168</v>
      </c>
      <c r="Z9" s="120" t="s">
        <v>168</v>
      </c>
      <c r="AA9" s="120">
        <f>SUM(AA10:AA15)</f>
        <v>0</v>
      </c>
      <c r="AB9" s="120">
        <f>SUM(AB10:AB15)</f>
        <v>0</v>
      </c>
      <c r="AC9" s="120" t="s">
        <v>168</v>
      </c>
      <c r="AD9" s="120">
        <f>SUM(AD10:AD15)</f>
        <v>0</v>
      </c>
      <c r="AE9" s="120">
        <f>SUM(AE10:AE15)</f>
        <v>0</v>
      </c>
      <c r="AF9" s="122" t="s">
        <v>168</v>
      </c>
      <c r="AG9" s="153">
        <f>SUM(AG10:AG15)</f>
        <v>115</v>
      </c>
      <c r="AH9" s="154">
        <f>SUM(AH10:AH15)</f>
        <v>128</v>
      </c>
      <c r="AI9" s="148">
        <f>AH9/AG9</f>
        <v>1.1130434782608696</v>
      </c>
      <c r="AJ9" s="149">
        <f>SUM(AJ10:AJ15)</f>
        <v>52</v>
      </c>
      <c r="AK9" s="149">
        <f>SUM(AK10:AK15)</f>
        <v>25</v>
      </c>
      <c r="AL9" s="148">
        <f>AK9/AJ9</f>
        <v>0.4807692307692308</v>
      </c>
      <c r="AM9" s="149">
        <f>SUM(AM10:AM15)</f>
        <v>4</v>
      </c>
      <c r="AN9" s="149">
        <f>SUM(AN10:AN15)</f>
        <v>3</v>
      </c>
      <c r="AO9" s="148"/>
      <c r="AP9" s="149">
        <f>SUM(AP10:AP15)</f>
        <v>0</v>
      </c>
      <c r="AQ9" s="149">
        <f>SUM(AQ10:AQ15)</f>
        <v>0</v>
      </c>
      <c r="AR9" s="149" t="s">
        <v>168</v>
      </c>
      <c r="AS9" s="149">
        <f>SUM(AS10:AS15)</f>
        <v>0</v>
      </c>
      <c r="AT9" s="149">
        <f>SUM(AT10:AT15)</f>
        <v>0</v>
      </c>
      <c r="AU9" s="150" t="s">
        <v>168</v>
      </c>
    </row>
    <row r="10" spans="1:47" ht="24.75" customHeight="1">
      <c r="A10" s="56" t="s">
        <v>27</v>
      </c>
      <c r="B10" s="58" t="s">
        <v>95</v>
      </c>
      <c r="C10" s="112" t="s">
        <v>168</v>
      </c>
      <c r="D10" s="94" t="s">
        <v>168</v>
      </c>
      <c r="E10" s="95" t="s">
        <v>168</v>
      </c>
      <c r="F10" s="94"/>
      <c r="G10" s="94" t="s">
        <v>168</v>
      </c>
      <c r="H10" s="95" t="s">
        <v>168</v>
      </c>
      <c r="I10" s="94" t="s">
        <v>168</v>
      </c>
      <c r="J10" s="94" t="s">
        <v>168</v>
      </c>
      <c r="K10" s="95" t="s">
        <v>168</v>
      </c>
      <c r="L10" s="94" t="s">
        <v>168</v>
      </c>
      <c r="M10" s="94" t="s">
        <v>168</v>
      </c>
      <c r="N10" s="94" t="s">
        <v>168</v>
      </c>
      <c r="O10" s="94" t="s">
        <v>168</v>
      </c>
      <c r="P10" s="94" t="s">
        <v>168</v>
      </c>
      <c r="Q10" s="99" t="s">
        <v>168</v>
      </c>
      <c r="R10" s="151" t="s">
        <v>168</v>
      </c>
      <c r="S10" s="120" t="s">
        <v>168</v>
      </c>
      <c r="T10" s="120" t="s">
        <v>168</v>
      </c>
      <c r="U10" s="120" t="s">
        <v>168</v>
      </c>
      <c r="V10" s="120" t="s">
        <v>168</v>
      </c>
      <c r="W10" s="120" t="s">
        <v>168</v>
      </c>
      <c r="X10" s="120" t="s">
        <v>168</v>
      </c>
      <c r="Y10" s="120" t="s">
        <v>168</v>
      </c>
      <c r="Z10" s="120" t="s">
        <v>168</v>
      </c>
      <c r="AA10" s="120" t="s">
        <v>168</v>
      </c>
      <c r="AB10" s="120" t="s">
        <v>168</v>
      </c>
      <c r="AC10" s="120" t="s">
        <v>168</v>
      </c>
      <c r="AD10" s="120" t="s">
        <v>168</v>
      </c>
      <c r="AE10" s="120" t="s">
        <v>168</v>
      </c>
      <c r="AF10" s="152" t="s">
        <v>168</v>
      </c>
      <c r="AG10" s="112" t="s">
        <v>168</v>
      </c>
      <c r="AH10" s="94" t="s">
        <v>168</v>
      </c>
      <c r="AI10" s="95" t="s">
        <v>168</v>
      </c>
      <c r="AJ10" s="112" t="s">
        <v>168</v>
      </c>
      <c r="AK10" s="94" t="s">
        <v>168</v>
      </c>
      <c r="AL10" s="95" t="s">
        <v>168</v>
      </c>
      <c r="AM10" s="112" t="s">
        <v>168</v>
      </c>
      <c r="AN10" s="94" t="s">
        <v>168</v>
      </c>
      <c r="AO10" s="95" t="s">
        <v>168</v>
      </c>
      <c r="AP10" s="94" t="s">
        <v>168</v>
      </c>
      <c r="AQ10" s="94" t="s">
        <v>168</v>
      </c>
      <c r="AR10" s="94" t="s">
        <v>168</v>
      </c>
      <c r="AS10" s="94" t="s">
        <v>168</v>
      </c>
      <c r="AT10" s="94" t="s">
        <v>168</v>
      </c>
      <c r="AU10" s="99" t="s">
        <v>168</v>
      </c>
    </row>
    <row r="11" spans="1:47" ht="24.75" customHeight="1">
      <c r="A11" s="56" t="s">
        <v>28</v>
      </c>
      <c r="B11" s="58" t="s">
        <v>96</v>
      </c>
      <c r="C11" s="113">
        <v>30</v>
      </c>
      <c r="D11" s="96">
        <v>16</v>
      </c>
      <c r="E11" s="93">
        <f>D11/C11</f>
        <v>0.5333333333333333</v>
      </c>
      <c r="F11" s="92">
        <v>38</v>
      </c>
      <c r="G11" s="92">
        <v>10</v>
      </c>
      <c r="H11" s="93">
        <f>G11/F11</f>
        <v>0.2631578947368421</v>
      </c>
      <c r="I11" s="92">
        <v>4</v>
      </c>
      <c r="J11" s="92">
        <v>3</v>
      </c>
      <c r="K11" s="93">
        <f>J11/I11</f>
        <v>0.75</v>
      </c>
      <c r="L11" s="94" t="s">
        <v>168</v>
      </c>
      <c r="M11" s="94" t="s">
        <v>168</v>
      </c>
      <c r="N11" s="94" t="s">
        <v>168</v>
      </c>
      <c r="O11" s="92" t="s">
        <v>231</v>
      </c>
      <c r="P11" s="92" t="s">
        <v>231</v>
      </c>
      <c r="Q11" s="100" t="s">
        <v>231</v>
      </c>
      <c r="R11" s="124">
        <v>23</v>
      </c>
      <c r="S11" s="125">
        <v>59</v>
      </c>
      <c r="T11" s="119">
        <f>S11/R11</f>
        <v>2.5652173913043477</v>
      </c>
      <c r="U11" s="118">
        <v>12</v>
      </c>
      <c r="V11" s="118">
        <v>10</v>
      </c>
      <c r="W11" s="119">
        <f>V11/U11</f>
        <v>0.8333333333333334</v>
      </c>
      <c r="X11" s="120"/>
      <c r="Y11" s="120"/>
      <c r="Z11" s="120" t="s">
        <v>168</v>
      </c>
      <c r="AA11" s="120" t="s">
        <v>168</v>
      </c>
      <c r="AB11" s="120" t="s">
        <v>168</v>
      </c>
      <c r="AC11" s="120" t="s">
        <v>168</v>
      </c>
      <c r="AD11" s="120" t="s">
        <v>168</v>
      </c>
      <c r="AE11" s="120" t="s">
        <v>168</v>
      </c>
      <c r="AF11" s="126" t="s">
        <v>168</v>
      </c>
      <c r="AG11" s="113">
        <f>C11+R11</f>
        <v>53</v>
      </c>
      <c r="AH11" s="113">
        <f>D11+S11</f>
        <v>75</v>
      </c>
      <c r="AI11" s="93">
        <f>AH11/AG11</f>
        <v>1.4150943396226414</v>
      </c>
      <c r="AJ11" s="113">
        <f>F11+U11</f>
        <v>50</v>
      </c>
      <c r="AK11" s="113">
        <f>G11+V11</f>
        <v>20</v>
      </c>
      <c r="AL11" s="93">
        <f>AK11/AJ11</f>
        <v>0.4</v>
      </c>
      <c r="AM11" s="113">
        <f>I11+X11</f>
        <v>4</v>
      </c>
      <c r="AN11" s="113">
        <f>J11+Y11</f>
        <v>3</v>
      </c>
      <c r="AO11" s="93" t="s">
        <v>168</v>
      </c>
      <c r="AP11" s="94" t="s">
        <v>168</v>
      </c>
      <c r="AQ11" s="94" t="s">
        <v>168</v>
      </c>
      <c r="AR11" s="94" t="s">
        <v>168</v>
      </c>
      <c r="AS11" s="92" t="s">
        <v>231</v>
      </c>
      <c r="AT11" s="92" t="s">
        <v>231</v>
      </c>
      <c r="AU11" s="100" t="s">
        <v>231</v>
      </c>
    </row>
    <row r="12" spans="1:47" ht="24.75" customHeight="1">
      <c r="A12" s="56" t="s">
        <v>29</v>
      </c>
      <c r="B12" s="58" t="s">
        <v>97</v>
      </c>
      <c r="C12" s="111" t="s">
        <v>168</v>
      </c>
      <c r="D12" s="92" t="s">
        <v>168</v>
      </c>
      <c r="E12" s="93" t="s">
        <v>168</v>
      </c>
      <c r="F12" s="92" t="s">
        <v>168</v>
      </c>
      <c r="G12" s="92"/>
      <c r="H12" s="93" t="s">
        <v>168</v>
      </c>
      <c r="I12" s="92" t="s">
        <v>168</v>
      </c>
      <c r="J12" s="92" t="s">
        <v>168</v>
      </c>
      <c r="K12" s="93" t="s">
        <v>168</v>
      </c>
      <c r="L12" s="92" t="s">
        <v>168</v>
      </c>
      <c r="M12" s="92" t="s">
        <v>168</v>
      </c>
      <c r="N12" s="92" t="s">
        <v>168</v>
      </c>
      <c r="O12" s="92" t="s">
        <v>168</v>
      </c>
      <c r="P12" s="92" t="s">
        <v>168</v>
      </c>
      <c r="Q12" s="100" t="s">
        <v>168</v>
      </c>
      <c r="R12" s="124" t="s">
        <v>168</v>
      </c>
      <c r="S12" s="125" t="s">
        <v>168</v>
      </c>
      <c r="T12" s="119" t="s">
        <v>168</v>
      </c>
      <c r="U12" s="118" t="s">
        <v>168</v>
      </c>
      <c r="V12" s="118" t="s">
        <v>168</v>
      </c>
      <c r="W12" s="119" t="s">
        <v>168</v>
      </c>
      <c r="X12" s="120" t="s">
        <v>168</v>
      </c>
      <c r="Y12" s="120" t="s">
        <v>168</v>
      </c>
      <c r="Z12" s="118" t="s">
        <v>168</v>
      </c>
      <c r="AA12" s="118" t="s">
        <v>168</v>
      </c>
      <c r="AB12" s="118" t="s">
        <v>168</v>
      </c>
      <c r="AC12" s="118" t="s">
        <v>168</v>
      </c>
      <c r="AD12" s="118" t="s">
        <v>168</v>
      </c>
      <c r="AE12" s="118" t="s">
        <v>168</v>
      </c>
      <c r="AF12" s="126" t="s">
        <v>168</v>
      </c>
      <c r="AG12" s="113" t="s">
        <v>168</v>
      </c>
      <c r="AH12" s="113" t="s">
        <v>168</v>
      </c>
      <c r="AI12" s="93" t="s">
        <v>168</v>
      </c>
      <c r="AJ12" s="113" t="s">
        <v>168</v>
      </c>
      <c r="AK12" s="113" t="s">
        <v>168</v>
      </c>
      <c r="AL12" s="93" t="s">
        <v>168</v>
      </c>
      <c r="AM12" s="113" t="s">
        <v>168</v>
      </c>
      <c r="AN12" s="113" t="s">
        <v>168</v>
      </c>
      <c r="AO12" s="93" t="s">
        <v>168</v>
      </c>
      <c r="AP12" s="94" t="s">
        <v>168</v>
      </c>
      <c r="AQ12" s="94" t="s">
        <v>168</v>
      </c>
      <c r="AR12" s="94" t="s">
        <v>168</v>
      </c>
      <c r="AS12" s="94" t="s">
        <v>168</v>
      </c>
      <c r="AT12" s="94" t="s">
        <v>168</v>
      </c>
      <c r="AU12" s="99" t="s">
        <v>168</v>
      </c>
    </row>
    <row r="13" spans="1:47" ht="24.75" customHeight="1">
      <c r="A13" s="56" t="s">
        <v>30</v>
      </c>
      <c r="B13" s="58" t="s">
        <v>98</v>
      </c>
      <c r="C13" s="112" t="s">
        <v>168</v>
      </c>
      <c r="D13" s="94" t="s">
        <v>168</v>
      </c>
      <c r="E13" s="95" t="s">
        <v>168</v>
      </c>
      <c r="F13" s="94"/>
      <c r="G13" s="94" t="s">
        <v>168</v>
      </c>
      <c r="H13" s="95" t="s">
        <v>168</v>
      </c>
      <c r="I13" s="94" t="s">
        <v>168</v>
      </c>
      <c r="J13" s="94" t="s">
        <v>168</v>
      </c>
      <c r="K13" s="95" t="s">
        <v>168</v>
      </c>
      <c r="L13" s="94" t="s">
        <v>168</v>
      </c>
      <c r="M13" s="94" t="s">
        <v>168</v>
      </c>
      <c r="N13" s="94" t="s">
        <v>168</v>
      </c>
      <c r="O13" s="94" t="s">
        <v>168</v>
      </c>
      <c r="P13" s="94" t="s">
        <v>168</v>
      </c>
      <c r="Q13" s="99" t="s">
        <v>168</v>
      </c>
      <c r="R13" s="123" t="s">
        <v>168</v>
      </c>
      <c r="S13" s="120" t="s">
        <v>168</v>
      </c>
      <c r="T13" s="121" t="s">
        <v>168</v>
      </c>
      <c r="U13" s="120" t="s">
        <v>168</v>
      </c>
      <c r="V13" s="120" t="s">
        <v>168</v>
      </c>
      <c r="W13" s="121" t="s">
        <v>168</v>
      </c>
      <c r="X13" s="120" t="s">
        <v>168</v>
      </c>
      <c r="Y13" s="120" t="s">
        <v>168</v>
      </c>
      <c r="Z13" s="120" t="s">
        <v>168</v>
      </c>
      <c r="AA13" s="120" t="s">
        <v>168</v>
      </c>
      <c r="AB13" s="120" t="s">
        <v>168</v>
      </c>
      <c r="AC13" s="120" t="s">
        <v>168</v>
      </c>
      <c r="AD13" s="120" t="s">
        <v>168</v>
      </c>
      <c r="AE13" s="120" t="s">
        <v>168</v>
      </c>
      <c r="AF13" s="126" t="s">
        <v>168</v>
      </c>
      <c r="AG13" s="112" t="s">
        <v>168</v>
      </c>
      <c r="AH13" s="94" t="s">
        <v>168</v>
      </c>
      <c r="AI13" s="95" t="s">
        <v>168</v>
      </c>
      <c r="AJ13" s="112" t="s">
        <v>168</v>
      </c>
      <c r="AK13" s="94" t="s">
        <v>168</v>
      </c>
      <c r="AL13" s="95" t="s">
        <v>168</v>
      </c>
      <c r="AM13" s="112" t="s">
        <v>168</v>
      </c>
      <c r="AN13" s="94" t="s">
        <v>168</v>
      </c>
      <c r="AO13" s="95" t="s">
        <v>168</v>
      </c>
      <c r="AP13" s="94" t="s">
        <v>168</v>
      </c>
      <c r="AQ13" s="94" t="s">
        <v>168</v>
      </c>
      <c r="AR13" s="94" t="s">
        <v>168</v>
      </c>
      <c r="AS13" s="94" t="s">
        <v>168</v>
      </c>
      <c r="AT13" s="94" t="s">
        <v>168</v>
      </c>
      <c r="AU13" s="99" t="s">
        <v>168</v>
      </c>
    </row>
    <row r="14" spans="1:47" ht="24.75" customHeight="1">
      <c r="A14" s="56" t="s">
        <v>106</v>
      </c>
      <c r="B14" s="58" t="s">
        <v>99</v>
      </c>
      <c r="C14" s="111">
        <v>35</v>
      </c>
      <c r="D14" s="92">
        <v>28</v>
      </c>
      <c r="E14" s="93">
        <f>D14/C14</f>
        <v>0.8</v>
      </c>
      <c r="F14" s="94"/>
      <c r="G14" s="94"/>
      <c r="H14" s="95" t="s">
        <v>168</v>
      </c>
      <c r="I14" s="94"/>
      <c r="J14" s="94"/>
      <c r="K14" s="95" t="s">
        <v>168</v>
      </c>
      <c r="L14" s="94" t="s">
        <v>168</v>
      </c>
      <c r="M14" s="94" t="s">
        <v>168</v>
      </c>
      <c r="N14" s="94" t="s">
        <v>168</v>
      </c>
      <c r="O14" s="94" t="s">
        <v>168</v>
      </c>
      <c r="P14" s="94" t="s">
        <v>168</v>
      </c>
      <c r="Q14" s="99" t="s">
        <v>168</v>
      </c>
      <c r="R14" s="117">
        <v>27</v>
      </c>
      <c r="S14" s="118">
        <v>25</v>
      </c>
      <c r="T14" s="119">
        <f>S14/R14</f>
        <v>0.9259259259259259</v>
      </c>
      <c r="U14" s="120">
        <v>2</v>
      </c>
      <c r="V14" s="120">
        <v>5</v>
      </c>
      <c r="W14" s="119">
        <f>V14/U14</f>
        <v>2.5</v>
      </c>
      <c r="X14" s="120"/>
      <c r="Y14" s="120"/>
      <c r="Z14" s="120" t="s">
        <v>168</v>
      </c>
      <c r="AA14" s="120" t="s">
        <v>168</v>
      </c>
      <c r="AB14" s="120" t="s">
        <v>168</v>
      </c>
      <c r="AC14" s="120" t="s">
        <v>168</v>
      </c>
      <c r="AD14" s="120" t="s">
        <v>168</v>
      </c>
      <c r="AE14" s="120" t="s">
        <v>168</v>
      </c>
      <c r="AF14" s="126" t="s">
        <v>168</v>
      </c>
      <c r="AG14" s="113">
        <f>C14+R14</f>
        <v>62</v>
      </c>
      <c r="AH14" s="113">
        <f>D14+S14</f>
        <v>53</v>
      </c>
      <c r="AI14" s="93">
        <f>AH14/AG14</f>
        <v>0.8548387096774194</v>
      </c>
      <c r="AJ14" s="113">
        <f>F14+U14</f>
        <v>2</v>
      </c>
      <c r="AK14" s="113">
        <f>G14+V14</f>
        <v>5</v>
      </c>
      <c r="AL14" s="95" t="s">
        <v>168</v>
      </c>
      <c r="AM14" s="113">
        <f>I14+X14</f>
        <v>0</v>
      </c>
      <c r="AN14" s="113">
        <f>J14+Y14</f>
        <v>0</v>
      </c>
      <c r="AO14" s="95" t="s">
        <v>168</v>
      </c>
      <c r="AP14" s="94" t="s">
        <v>168</v>
      </c>
      <c r="AQ14" s="94" t="s">
        <v>168</v>
      </c>
      <c r="AR14" s="94" t="s">
        <v>168</v>
      </c>
      <c r="AS14" s="94" t="s">
        <v>168</v>
      </c>
      <c r="AT14" s="94" t="s">
        <v>168</v>
      </c>
      <c r="AU14" s="99" t="s">
        <v>168</v>
      </c>
    </row>
    <row r="15" spans="1:47" ht="24.75" customHeight="1">
      <c r="A15" s="56" t="s">
        <v>107</v>
      </c>
      <c r="B15" s="58" t="s">
        <v>100</v>
      </c>
      <c r="C15" s="112" t="s">
        <v>168</v>
      </c>
      <c r="D15" s="94" t="s">
        <v>168</v>
      </c>
      <c r="E15" s="95" t="s">
        <v>168</v>
      </c>
      <c r="F15" s="94"/>
      <c r="G15" s="94" t="s">
        <v>168</v>
      </c>
      <c r="H15" s="95" t="s">
        <v>168</v>
      </c>
      <c r="I15" s="94" t="s">
        <v>168</v>
      </c>
      <c r="J15" s="94" t="s">
        <v>168</v>
      </c>
      <c r="K15" s="95" t="s">
        <v>168</v>
      </c>
      <c r="L15" s="94" t="s">
        <v>168</v>
      </c>
      <c r="M15" s="94" t="s">
        <v>168</v>
      </c>
      <c r="N15" s="94" t="s">
        <v>168</v>
      </c>
      <c r="O15" s="94" t="s">
        <v>168</v>
      </c>
      <c r="P15" s="94" t="s">
        <v>168</v>
      </c>
      <c r="Q15" s="99" t="s">
        <v>168</v>
      </c>
      <c r="R15" s="123" t="s">
        <v>168</v>
      </c>
      <c r="S15" s="120" t="s">
        <v>168</v>
      </c>
      <c r="T15" s="121" t="s">
        <v>168</v>
      </c>
      <c r="U15" s="120" t="s">
        <v>168</v>
      </c>
      <c r="V15" s="120" t="s">
        <v>168</v>
      </c>
      <c r="W15" s="121" t="s">
        <v>168</v>
      </c>
      <c r="X15" s="120" t="s">
        <v>168</v>
      </c>
      <c r="Y15" s="120" t="s">
        <v>168</v>
      </c>
      <c r="Z15" s="120" t="s">
        <v>168</v>
      </c>
      <c r="AA15" s="120" t="s">
        <v>168</v>
      </c>
      <c r="AB15" s="120" t="s">
        <v>168</v>
      </c>
      <c r="AC15" s="120" t="s">
        <v>168</v>
      </c>
      <c r="AD15" s="120" t="s">
        <v>168</v>
      </c>
      <c r="AE15" s="120" t="s">
        <v>168</v>
      </c>
      <c r="AF15" s="126" t="s">
        <v>168</v>
      </c>
      <c r="AG15" s="112" t="s">
        <v>168</v>
      </c>
      <c r="AH15" s="94" t="s">
        <v>168</v>
      </c>
      <c r="AI15" s="95" t="s">
        <v>168</v>
      </c>
      <c r="AJ15" s="112" t="s">
        <v>168</v>
      </c>
      <c r="AK15" s="94" t="s">
        <v>168</v>
      </c>
      <c r="AL15" s="95" t="s">
        <v>168</v>
      </c>
      <c r="AM15" s="112" t="s">
        <v>168</v>
      </c>
      <c r="AN15" s="94" t="s">
        <v>168</v>
      </c>
      <c r="AO15" s="95" t="s">
        <v>168</v>
      </c>
      <c r="AP15" s="94" t="s">
        <v>168</v>
      </c>
      <c r="AQ15" s="94" t="s">
        <v>168</v>
      </c>
      <c r="AR15" s="94" t="s">
        <v>168</v>
      </c>
      <c r="AS15" s="94" t="s">
        <v>168</v>
      </c>
      <c r="AT15" s="94" t="s">
        <v>168</v>
      </c>
      <c r="AU15" s="99" t="s">
        <v>168</v>
      </c>
    </row>
    <row r="16" spans="1:47" ht="24.75" customHeight="1">
      <c r="A16" s="55">
        <v>2</v>
      </c>
      <c r="B16" s="58" t="s">
        <v>112</v>
      </c>
      <c r="C16" s="112" t="s">
        <v>168</v>
      </c>
      <c r="D16" s="94" t="s">
        <v>168</v>
      </c>
      <c r="E16" s="95" t="s">
        <v>168</v>
      </c>
      <c r="F16" s="94" t="s">
        <v>168</v>
      </c>
      <c r="G16" s="94" t="s">
        <v>168</v>
      </c>
      <c r="H16" s="95" t="s">
        <v>168</v>
      </c>
      <c r="I16" s="94" t="s">
        <v>168</v>
      </c>
      <c r="J16" s="94" t="s">
        <v>168</v>
      </c>
      <c r="K16" s="95" t="s">
        <v>168</v>
      </c>
      <c r="L16" s="94" t="s">
        <v>168</v>
      </c>
      <c r="M16" s="94" t="s">
        <v>168</v>
      </c>
      <c r="N16" s="94" t="s">
        <v>168</v>
      </c>
      <c r="O16" s="94" t="s">
        <v>168</v>
      </c>
      <c r="P16" s="94" t="s">
        <v>168</v>
      </c>
      <c r="Q16" s="99" t="s">
        <v>168</v>
      </c>
      <c r="R16" s="123" t="s">
        <v>168</v>
      </c>
      <c r="S16" s="120" t="s">
        <v>168</v>
      </c>
      <c r="T16" s="121" t="s">
        <v>168</v>
      </c>
      <c r="U16" s="120" t="s">
        <v>168</v>
      </c>
      <c r="V16" s="120" t="s">
        <v>168</v>
      </c>
      <c r="W16" s="121" t="s">
        <v>168</v>
      </c>
      <c r="X16" s="120" t="s">
        <v>168</v>
      </c>
      <c r="Y16" s="120" t="s">
        <v>168</v>
      </c>
      <c r="Z16" s="120" t="s">
        <v>168</v>
      </c>
      <c r="AA16" s="120" t="s">
        <v>168</v>
      </c>
      <c r="AB16" s="120" t="s">
        <v>168</v>
      </c>
      <c r="AC16" s="120" t="s">
        <v>168</v>
      </c>
      <c r="AD16" s="120" t="s">
        <v>168</v>
      </c>
      <c r="AE16" s="120" t="s">
        <v>168</v>
      </c>
      <c r="AF16" s="126" t="s">
        <v>168</v>
      </c>
      <c r="AG16" s="112" t="s">
        <v>168</v>
      </c>
      <c r="AH16" s="94" t="s">
        <v>168</v>
      </c>
      <c r="AI16" s="95" t="s">
        <v>168</v>
      </c>
      <c r="AJ16" s="112" t="s">
        <v>168</v>
      </c>
      <c r="AK16" s="94" t="s">
        <v>168</v>
      </c>
      <c r="AL16" s="95" t="s">
        <v>168</v>
      </c>
      <c r="AM16" s="112" t="s">
        <v>168</v>
      </c>
      <c r="AN16" s="94" t="s">
        <v>168</v>
      </c>
      <c r="AO16" s="95" t="s">
        <v>168</v>
      </c>
      <c r="AP16" s="94" t="s">
        <v>168</v>
      </c>
      <c r="AQ16" s="94" t="s">
        <v>168</v>
      </c>
      <c r="AR16" s="94" t="s">
        <v>168</v>
      </c>
      <c r="AS16" s="94" t="s">
        <v>168</v>
      </c>
      <c r="AT16" s="94" t="s">
        <v>168</v>
      </c>
      <c r="AU16" s="99" t="s">
        <v>168</v>
      </c>
    </row>
    <row r="17" spans="1:47" ht="37.5" customHeight="1">
      <c r="A17" s="56" t="s">
        <v>32</v>
      </c>
      <c r="B17" s="58" t="s">
        <v>101</v>
      </c>
      <c r="C17" s="112" t="s">
        <v>168</v>
      </c>
      <c r="D17" s="94" t="s">
        <v>168</v>
      </c>
      <c r="E17" s="95" t="s">
        <v>168</v>
      </c>
      <c r="F17" s="94" t="s">
        <v>168</v>
      </c>
      <c r="G17" s="94" t="s">
        <v>168</v>
      </c>
      <c r="H17" s="95" t="s">
        <v>168</v>
      </c>
      <c r="I17" s="94" t="s">
        <v>168</v>
      </c>
      <c r="J17" s="94" t="s">
        <v>168</v>
      </c>
      <c r="K17" s="95" t="s">
        <v>168</v>
      </c>
      <c r="L17" s="94" t="s">
        <v>168</v>
      </c>
      <c r="M17" s="94" t="s">
        <v>168</v>
      </c>
      <c r="N17" s="94" t="s">
        <v>168</v>
      </c>
      <c r="O17" s="94" t="s">
        <v>168</v>
      </c>
      <c r="P17" s="94" t="s">
        <v>168</v>
      </c>
      <c r="Q17" s="99" t="s">
        <v>168</v>
      </c>
      <c r="R17" s="123" t="s">
        <v>168</v>
      </c>
      <c r="S17" s="120" t="s">
        <v>168</v>
      </c>
      <c r="T17" s="121" t="s">
        <v>168</v>
      </c>
      <c r="U17" s="120" t="s">
        <v>168</v>
      </c>
      <c r="V17" s="120" t="s">
        <v>168</v>
      </c>
      <c r="W17" s="121" t="s">
        <v>168</v>
      </c>
      <c r="X17" s="120" t="s">
        <v>168</v>
      </c>
      <c r="Y17" s="120" t="s">
        <v>168</v>
      </c>
      <c r="Z17" s="120" t="s">
        <v>168</v>
      </c>
      <c r="AA17" s="120" t="s">
        <v>168</v>
      </c>
      <c r="AB17" s="120" t="s">
        <v>168</v>
      </c>
      <c r="AC17" s="120" t="s">
        <v>168</v>
      </c>
      <c r="AD17" s="120" t="s">
        <v>168</v>
      </c>
      <c r="AE17" s="120" t="s">
        <v>168</v>
      </c>
      <c r="AF17" s="126" t="s">
        <v>168</v>
      </c>
      <c r="AG17" s="112" t="s">
        <v>168</v>
      </c>
      <c r="AH17" s="94" t="s">
        <v>168</v>
      </c>
      <c r="AI17" s="95" t="s">
        <v>168</v>
      </c>
      <c r="AJ17" s="112" t="s">
        <v>168</v>
      </c>
      <c r="AK17" s="94" t="s">
        <v>168</v>
      </c>
      <c r="AL17" s="95" t="s">
        <v>168</v>
      </c>
      <c r="AM17" s="112" t="s">
        <v>168</v>
      </c>
      <c r="AN17" s="94" t="s">
        <v>168</v>
      </c>
      <c r="AO17" s="95" t="s">
        <v>168</v>
      </c>
      <c r="AP17" s="94" t="s">
        <v>168</v>
      </c>
      <c r="AQ17" s="94" t="s">
        <v>168</v>
      </c>
      <c r="AR17" s="94" t="s">
        <v>168</v>
      </c>
      <c r="AS17" s="94" t="s">
        <v>168</v>
      </c>
      <c r="AT17" s="94" t="s">
        <v>168</v>
      </c>
      <c r="AU17" s="99" t="s">
        <v>168</v>
      </c>
    </row>
    <row r="18" spans="1:47" ht="35.25" customHeight="1">
      <c r="A18" s="101" t="s">
        <v>108</v>
      </c>
      <c r="B18" s="58" t="s">
        <v>113</v>
      </c>
      <c r="C18" s="112" t="s">
        <v>168</v>
      </c>
      <c r="D18" s="94" t="s">
        <v>168</v>
      </c>
      <c r="E18" s="95" t="s">
        <v>168</v>
      </c>
      <c r="F18" s="94" t="s">
        <v>168</v>
      </c>
      <c r="G18" s="94" t="s">
        <v>168</v>
      </c>
      <c r="H18" s="95" t="s">
        <v>168</v>
      </c>
      <c r="I18" s="94" t="s">
        <v>168</v>
      </c>
      <c r="J18" s="94" t="s">
        <v>168</v>
      </c>
      <c r="K18" s="95" t="s">
        <v>168</v>
      </c>
      <c r="L18" s="94" t="s">
        <v>168</v>
      </c>
      <c r="M18" s="94" t="s">
        <v>168</v>
      </c>
      <c r="N18" s="94" t="s">
        <v>168</v>
      </c>
      <c r="O18" s="94" t="s">
        <v>168</v>
      </c>
      <c r="P18" s="94" t="s">
        <v>168</v>
      </c>
      <c r="Q18" s="99" t="s">
        <v>168</v>
      </c>
      <c r="R18" s="123" t="s">
        <v>168</v>
      </c>
      <c r="S18" s="120" t="s">
        <v>168</v>
      </c>
      <c r="T18" s="121" t="s">
        <v>168</v>
      </c>
      <c r="U18" s="120" t="s">
        <v>168</v>
      </c>
      <c r="V18" s="120" t="s">
        <v>168</v>
      </c>
      <c r="W18" s="121" t="s">
        <v>168</v>
      </c>
      <c r="X18" s="120" t="s">
        <v>168</v>
      </c>
      <c r="Y18" s="120" t="s">
        <v>168</v>
      </c>
      <c r="Z18" s="120" t="s">
        <v>168</v>
      </c>
      <c r="AA18" s="120" t="s">
        <v>168</v>
      </c>
      <c r="AB18" s="120" t="s">
        <v>168</v>
      </c>
      <c r="AC18" s="120" t="s">
        <v>168</v>
      </c>
      <c r="AD18" s="120" t="s">
        <v>168</v>
      </c>
      <c r="AE18" s="120" t="s">
        <v>168</v>
      </c>
      <c r="AF18" s="126" t="s">
        <v>168</v>
      </c>
      <c r="AG18" s="112" t="s">
        <v>168</v>
      </c>
      <c r="AH18" s="94" t="s">
        <v>168</v>
      </c>
      <c r="AI18" s="95" t="s">
        <v>168</v>
      </c>
      <c r="AJ18" s="112" t="s">
        <v>168</v>
      </c>
      <c r="AK18" s="94" t="s">
        <v>168</v>
      </c>
      <c r="AL18" s="95" t="s">
        <v>168</v>
      </c>
      <c r="AM18" s="112" t="s">
        <v>168</v>
      </c>
      <c r="AN18" s="94" t="s">
        <v>168</v>
      </c>
      <c r="AO18" s="95" t="s">
        <v>168</v>
      </c>
      <c r="AP18" s="94" t="s">
        <v>168</v>
      </c>
      <c r="AQ18" s="94" t="s">
        <v>168</v>
      </c>
      <c r="AR18" s="94" t="s">
        <v>168</v>
      </c>
      <c r="AS18" s="94" t="s">
        <v>168</v>
      </c>
      <c r="AT18" s="94" t="s">
        <v>168</v>
      </c>
      <c r="AU18" s="99" t="s">
        <v>168</v>
      </c>
    </row>
    <row r="19" spans="1:47" ht="24.75" customHeight="1">
      <c r="A19" s="101" t="s">
        <v>109</v>
      </c>
      <c r="B19" s="58" t="s">
        <v>114</v>
      </c>
      <c r="C19" s="112" t="s">
        <v>168</v>
      </c>
      <c r="D19" s="94" t="s">
        <v>168</v>
      </c>
      <c r="E19" s="95" t="s">
        <v>168</v>
      </c>
      <c r="F19" s="94" t="s">
        <v>168</v>
      </c>
      <c r="G19" s="94" t="s">
        <v>168</v>
      </c>
      <c r="H19" s="95" t="s">
        <v>168</v>
      </c>
      <c r="I19" s="94" t="s">
        <v>168</v>
      </c>
      <c r="J19" s="94" t="s">
        <v>168</v>
      </c>
      <c r="K19" s="95" t="s">
        <v>168</v>
      </c>
      <c r="L19" s="94" t="s">
        <v>168</v>
      </c>
      <c r="M19" s="94" t="s">
        <v>168</v>
      </c>
      <c r="N19" s="94" t="s">
        <v>168</v>
      </c>
      <c r="O19" s="94" t="s">
        <v>168</v>
      </c>
      <c r="P19" s="94" t="s">
        <v>168</v>
      </c>
      <c r="Q19" s="99" t="s">
        <v>168</v>
      </c>
      <c r="R19" s="123" t="s">
        <v>168</v>
      </c>
      <c r="S19" s="120" t="s">
        <v>168</v>
      </c>
      <c r="T19" s="121" t="s">
        <v>168</v>
      </c>
      <c r="U19" s="120" t="s">
        <v>168</v>
      </c>
      <c r="V19" s="120" t="s">
        <v>168</v>
      </c>
      <c r="W19" s="121" t="s">
        <v>168</v>
      </c>
      <c r="X19" s="120" t="s">
        <v>168</v>
      </c>
      <c r="Y19" s="120" t="s">
        <v>168</v>
      </c>
      <c r="Z19" s="120" t="s">
        <v>168</v>
      </c>
      <c r="AA19" s="120" t="s">
        <v>168</v>
      </c>
      <c r="AB19" s="120" t="s">
        <v>168</v>
      </c>
      <c r="AC19" s="120" t="s">
        <v>168</v>
      </c>
      <c r="AD19" s="120" t="s">
        <v>168</v>
      </c>
      <c r="AE19" s="120" t="s">
        <v>168</v>
      </c>
      <c r="AF19" s="126" t="s">
        <v>168</v>
      </c>
      <c r="AG19" s="112" t="s">
        <v>168</v>
      </c>
      <c r="AH19" s="94" t="s">
        <v>168</v>
      </c>
      <c r="AI19" s="95" t="s">
        <v>168</v>
      </c>
      <c r="AJ19" s="112" t="s">
        <v>168</v>
      </c>
      <c r="AK19" s="94" t="s">
        <v>168</v>
      </c>
      <c r="AL19" s="95" t="s">
        <v>168</v>
      </c>
      <c r="AM19" s="112" t="s">
        <v>168</v>
      </c>
      <c r="AN19" s="94" t="s">
        <v>168</v>
      </c>
      <c r="AO19" s="95" t="s">
        <v>168</v>
      </c>
      <c r="AP19" s="94" t="s">
        <v>168</v>
      </c>
      <c r="AQ19" s="94" t="s">
        <v>168</v>
      </c>
      <c r="AR19" s="94" t="s">
        <v>168</v>
      </c>
      <c r="AS19" s="94" t="s">
        <v>168</v>
      </c>
      <c r="AT19" s="94" t="s">
        <v>168</v>
      </c>
      <c r="AU19" s="99" t="s">
        <v>168</v>
      </c>
    </row>
    <row r="20" spans="1:47" ht="24.75" customHeight="1">
      <c r="A20" s="56" t="s">
        <v>33</v>
      </c>
      <c r="B20" s="58" t="s">
        <v>96</v>
      </c>
      <c r="C20" s="112" t="s">
        <v>168</v>
      </c>
      <c r="D20" s="94" t="s">
        <v>168</v>
      </c>
      <c r="E20" s="95" t="s">
        <v>168</v>
      </c>
      <c r="F20" s="94" t="s">
        <v>168</v>
      </c>
      <c r="G20" s="94" t="s">
        <v>168</v>
      </c>
      <c r="H20" s="95" t="s">
        <v>168</v>
      </c>
      <c r="I20" s="94" t="s">
        <v>168</v>
      </c>
      <c r="J20" s="94" t="s">
        <v>168</v>
      </c>
      <c r="K20" s="95" t="s">
        <v>168</v>
      </c>
      <c r="L20" s="94" t="s">
        <v>168</v>
      </c>
      <c r="M20" s="94" t="s">
        <v>168</v>
      </c>
      <c r="N20" s="94" t="s">
        <v>168</v>
      </c>
      <c r="O20" s="94" t="s">
        <v>168</v>
      </c>
      <c r="P20" s="94" t="s">
        <v>168</v>
      </c>
      <c r="Q20" s="99" t="s">
        <v>168</v>
      </c>
      <c r="R20" s="123" t="s">
        <v>168</v>
      </c>
      <c r="S20" s="120" t="s">
        <v>168</v>
      </c>
      <c r="T20" s="121" t="s">
        <v>168</v>
      </c>
      <c r="U20" s="120" t="s">
        <v>168</v>
      </c>
      <c r="V20" s="120" t="s">
        <v>168</v>
      </c>
      <c r="W20" s="121" t="s">
        <v>168</v>
      </c>
      <c r="X20" s="120" t="s">
        <v>168</v>
      </c>
      <c r="Y20" s="120" t="s">
        <v>168</v>
      </c>
      <c r="Z20" s="120" t="s">
        <v>168</v>
      </c>
      <c r="AA20" s="120" t="s">
        <v>168</v>
      </c>
      <c r="AB20" s="120" t="s">
        <v>168</v>
      </c>
      <c r="AC20" s="120" t="s">
        <v>168</v>
      </c>
      <c r="AD20" s="120" t="s">
        <v>168</v>
      </c>
      <c r="AE20" s="120" t="s">
        <v>168</v>
      </c>
      <c r="AF20" s="126" t="s">
        <v>168</v>
      </c>
      <c r="AG20" s="112" t="s">
        <v>168</v>
      </c>
      <c r="AH20" s="94" t="s">
        <v>168</v>
      </c>
      <c r="AI20" s="95" t="s">
        <v>168</v>
      </c>
      <c r="AJ20" s="112" t="s">
        <v>168</v>
      </c>
      <c r="AK20" s="94" t="s">
        <v>168</v>
      </c>
      <c r="AL20" s="95" t="s">
        <v>168</v>
      </c>
      <c r="AM20" s="112" t="s">
        <v>168</v>
      </c>
      <c r="AN20" s="94" t="s">
        <v>168</v>
      </c>
      <c r="AO20" s="95" t="s">
        <v>168</v>
      </c>
      <c r="AP20" s="94" t="s">
        <v>168</v>
      </c>
      <c r="AQ20" s="94" t="s">
        <v>168</v>
      </c>
      <c r="AR20" s="94" t="s">
        <v>168</v>
      </c>
      <c r="AS20" s="94" t="s">
        <v>168</v>
      </c>
      <c r="AT20" s="94" t="s">
        <v>168</v>
      </c>
      <c r="AU20" s="99" t="s">
        <v>168</v>
      </c>
    </row>
    <row r="21" spans="1:47" ht="24.75" customHeight="1">
      <c r="A21" s="56" t="s">
        <v>34</v>
      </c>
      <c r="B21" s="58" t="s">
        <v>97</v>
      </c>
      <c r="C21" s="112" t="s">
        <v>168</v>
      </c>
      <c r="D21" s="94" t="s">
        <v>168</v>
      </c>
      <c r="E21" s="95" t="s">
        <v>168</v>
      </c>
      <c r="F21" s="94" t="s">
        <v>168</v>
      </c>
      <c r="G21" s="94" t="s">
        <v>168</v>
      </c>
      <c r="H21" s="95" t="s">
        <v>168</v>
      </c>
      <c r="I21" s="94" t="s">
        <v>168</v>
      </c>
      <c r="J21" s="94" t="s">
        <v>168</v>
      </c>
      <c r="K21" s="95" t="s">
        <v>168</v>
      </c>
      <c r="L21" s="94" t="s">
        <v>168</v>
      </c>
      <c r="M21" s="94" t="s">
        <v>168</v>
      </c>
      <c r="N21" s="94" t="s">
        <v>168</v>
      </c>
      <c r="O21" s="94" t="s">
        <v>168</v>
      </c>
      <c r="P21" s="94" t="s">
        <v>168</v>
      </c>
      <c r="Q21" s="99" t="s">
        <v>168</v>
      </c>
      <c r="R21" s="123" t="s">
        <v>168</v>
      </c>
      <c r="S21" s="120" t="s">
        <v>168</v>
      </c>
      <c r="T21" s="121" t="s">
        <v>168</v>
      </c>
      <c r="U21" s="120" t="s">
        <v>168</v>
      </c>
      <c r="V21" s="120" t="s">
        <v>168</v>
      </c>
      <c r="W21" s="121" t="s">
        <v>168</v>
      </c>
      <c r="X21" s="120" t="s">
        <v>168</v>
      </c>
      <c r="Y21" s="120" t="s">
        <v>168</v>
      </c>
      <c r="Z21" s="120" t="s">
        <v>168</v>
      </c>
      <c r="AA21" s="120" t="s">
        <v>168</v>
      </c>
      <c r="AB21" s="120" t="s">
        <v>168</v>
      </c>
      <c r="AC21" s="120" t="s">
        <v>168</v>
      </c>
      <c r="AD21" s="120" t="s">
        <v>168</v>
      </c>
      <c r="AE21" s="120" t="s">
        <v>168</v>
      </c>
      <c r="AF21" s="126" t="s">
        <v>168</v>
      </c>
      <c r="AG21" s="112" t="s">
        <v>168</v>
      </c>
      <c r="AH21" s="94" t="s">
        <v>168</v>
      </c>
      <c r="AI21" s="95" t="s">
        <v>168</v>
      </c>
      <c r="AJ21" s="112" t="s">
        <v>168</v>
      </c>
      <c r="AK21" s="94" t="s">
        <v>168</v>
      </c>
      <c r="AL21" s="95" t="s">
        <v>168</v>
      </c>
      <c r="AM21" s="112" t="s">
        <v>168</v>
      </c>
      <c r="AN21" s="94" t="s">
        <v>168</v>
      </c>
      <c r="AO21" s="95" t="s">
        <v>168</v>
      </c>
      <c r="AP21" s="94" t="s">
        <v>168</v>
      </c>
      <c r="AQ21" s="94" t="s">
        <v>168</v>
      </c>
      <c r="AR21" s="94" t="s">
        <v>168</v>
      </c>
      <c r="AS21" s="94" t="s">
        <v>168</v>
      </c>
      <c r="AT21" s="94" t="s">
        <v>168</v>
      </c>
      <c r="AU21" s="99" t="s">
        <v>168</v>
      </c>
    </row>
    <row r="22" spans="1:47" ht="24.75" customHeight="1">
      <c r="A22" s="56" t="s">
        <v>35</v>
      </c>
      <c r="B22" s="58" t="s">
        <v>98</v>
      </c>
      <c r="C22" s="112" t="s">
        <v>168</v>
      </c>
      <c r="D22" s="94" t="s">
        <v>168</v>
      </c>
      <c r="E22" s="95" t="s">
        <v>168</v>
      </c>
      <c r="F22" s="94" t="s">
        <v>168</v>
      </c>
      <c r="G22" s="94" t="s">
        <v>168</v>
      </c>
      <c r="H22" s="95" t="s">
        <v>168</v>
      </c>
      <c r="I22" s="94" t="s">
        <v>168</v>
      </c>
      <c r="J22" s="94" t="s">
        <v>168</v>
      </c>
      <c r="K22" s="95" t="s">
        <v>168</v>
      </c>
      <c r="L22" s="94" t="s">
        <v>168</v>
      </c>
      <c r="M22" s="94" t="s">
        <v>168</v>
      </c>
      <c r="N22" s="94" t="s">
        <v>168</v>
      </c>
      <c r="O22" s="94" t="s">
        <v>168</v>
      </c>
      <c r="P22" s="94" t="s">
        <v>168</v>
      </c>
      <c r="Q22" s="99" t="s">
        <v>168</v>
      </c>
      <c r="R22" s="123" t="s">
        <v>168</v>
      </c>
      <c r="S22" s="120" t="s">
        <v>168</v>
      </c>
      <c r="T22" s="121" t="s">
        <v>168</v>
      </c>
      <c r="U22" s="120" t="s">
        <v>168</v>
      </c>
      <c r="V22" s="120" t="s">
        <v>168</v>
      </c>
      <c r="W22" s="121" t="s">
        <v>168</v>
      </c>
      <c r="X22" s="120" t="s">
        <v>168</v>
      </c>
      <c r="Y22" s="120" t="s">
        <v>168</v>
      </c>
      <c r="Z22" s="120" t="s">
        <v>168</v>
      </c>
      <c r="AA22" s="120" t="s">
        <v>168</v>
      </c>
      <c r="AB22" s="120" t="s">
        <v>168</v>
      </c>
      <c r="AC22" s="120" t="s">
        <v>168</v>
      </c>
      <c r="AD22" s="120" t="s">
        <v>168</v>
      </c>
      <c r="AE22" s="120" t="s">
        <v>168</v>
      </c>
      <c r="AF22" s="126" t="s">
        <v>168</v>
      </c>
      <c r="AG22" s="112" t="s">
        <v>168</v>
      </c>
      <c r="AH22" s="94" t="s">
        <v>168</v>
      </c>
      <c r="AI22" s="95" t="s">
        <v>168</v>
      </c>
      <c r="AJ22" s="112" t="s">
        <v>168</v>
      </c>
      <c r="AK22" s="94" t="s">
        <v>168</v>
      </c>
      <c r="AL22" s="95" t="s">
        <v>168</v>
      </c>
      <c r="AM22" s="112" t="s">
        <v>168</v>
      </c>
      <c r="AN22" s="94" t="s">
        <v>168</v>
      </c>
      <c r="AO22" s="95" t="s">
        <v>168</v>
      </c>
      <c r="AP22" s="94" t="s">
        <v>168</v>
      </c>
      <c r="AQ22" s="94" t="s">
        <v>168</v>
      </c>
      <c r="AR22" s="94" t="s">
        <v>168</v>
      </c>
      <c r="AS22" s="94" t="s">
        <v>168</v>
      </c>
      <c r="AT22" s="94" t="s">
        <v>168</v>
      </c>
      <c r="AU22" s="99" t="s">
        <v>168</v>
      </c>
    </row>
    <row r="23" spans="1:47" ht="30" customHeight="1">
      <c r="A23" s="56" t="s">
        <v>110</v>
      </c>
      <c r="B23" s="58" t="s">
        <v>102</v>
      </c>
      <c r="C23" s="112" t="s">
        <v>168</v>
      </c>
      <c r="D23" s="94" t="s">
        <v>168</v>
      </c>
      <c r="E23" s="95" t="s">
        <v>168</v>
      </c>
      <c r="F23" s="94" t="s">
        <v>168</v>
      </c>
      <c r="G23" s="94" t="s">
        <v>168</v>
      </c>
      <c r="H23" s="95" t="s">
        <v>168</v>
      </c>
      <c r="I23" s="94" t="s">
        <v>168</v>
      </c>
      <c r="J23" s="94" t="s">
        <v>168</v>
      </c>
      <c r="K23" s="95" t="s">
        <v>168</v>
      </c>
      <c r="L23" s="94" t="s">
        <v>168</v>
      </c>
      <c r="M23" s="94" t="s">
        <v>168</v>
      </c>
      <c r="N23" s="94" t="s">
        <v>168</v>
      </c>
      <c r="O23" s="94" t="s">
        <v>168</v>
      </c>
      <c r="P23" s="94" t="s">
        <v>168</v>
      </c>
      <c r="Q23" s="99" t="s">
        <v>168</v>
      </c>
      <c r="R23" s="123" t="s">
        <v>168</v>
      </c>
      <c r="S23" s="120" t="s">
        <v>168</v>
      </c>
      <c r="T23" s="121" t="s">
        <v>168</v>
      </c>
      <c r="U23" s="120" t="s">
        <v>168</v>
      </c>
      <c r="V23" s="120" t="s">
        <v>168</v>
      </c>
      <c r="W23" s="121" t="s">
        <v>168</v>
      </c>
      <c r="X23" s="120" t="s">
        <v>168</v>
      </c>
      <c r="Y23" s="120" t="s">
        <v>168</v>
      </c>
      <c r="Z23" s="120" t="s">
        <v>168</v>
      </c>
      <c r="AA23" s="120" t="s">
        <v>168</v>
      </c>
      <c r="AB23" s="120" t="s">
        <v>168</v>
      </c>
      <c r="AC23" s="120" t="s">
        <v>168</v>
      </c>
      <c r="AD23" s="120" t="s">
        <v>168</v>
      </c>
      <c r="AE23" s="120" t="s">
        <v>168</v>
      </c>
      <c r="AF23" s="126" t="s">
        <v>168</v>
      </c>
      <c r="AG23" s="112" t="s">
        <v>168</v>
      </c>
      <c r="AH23" s="94" t="s">
        <v>168</v>
      </c>
      <c r="AI23" s="95" t="s">
        <v>168</v>
      </c>
      <c r="AJ23" s="112" t="s">
        <v>168</v>
      </c>
      <c r="AK23" s="94" t="s">
        <v>168</v>
      </c>
      <c r="AL23" s="95" t="s">
        <v>168</v>
      </c>
      <c r="AM23" s="112" t="s">
        <v>168</v>
      </c>
      <c r="AN23" s="94" t="s">
        <v>168</v>
      </c>
      <c r="AO23" s="95" t="s">
        <v>168</v>
      </c>
      <c r="AP23" s="94" t="s">
        <v>168</v>
      </c>
      <c r="AQ23" s="94" t="s">
        <v>168</v>
      </c>
      <c r="AR23" s="94" t="s">
        <v>168</v>
      </c>
      <c r="AS23" s="94" t="s">
        <v>168</v>
      </c>
      <c r="AT23" s="94" t="s">
        <v>168</v>
      </c>
      <c r="AU23" s="99" t="s">
        <v>168</v>
      </c>
    </row>
    <row r="24" spans="1:47" ht="24.75" customHeight="1">
      <c r="A24" s="56" t="s">
        <v>111</v>
      </c>
      <c r="B24" s="58" t="s">
        <v>100</v>
      </c>
      <c r="C24" s="112" t="s">
        <v>168</v>
      </c>
      <c r="D24" s="94" t="s">
        <v>168</v>
      </c>
      <c r="E24" s="95" t="s">
        <v>168</v>
      </c>
      <c r="F24" s="94" t="s">
        <v>168</v>
      </c>
      <c r="G24" s="94" t="s">
        <v>168</v>
      </c>
      <c r="H24" s="95" t="s">
        <v>168</v>
      </c>
      <c r="I24" s="94" t="s">
        <v>168</v>
      </c>
      <c r="J24" s="94" t="s">
        <v>168</v>
      </c>
      <c r="K24" s="95" t="s">
        <v>168</v>
      </c>
      <c r="L24" s="94" t="s">
        <v>168</v>
      </c>
      <c r="M24" s="94" t="s">
        <v>168</v>
      </c>
      <c r="N24" s="94" t="s">
        <v>168</v>
      </c>
      <c r="O24" s="94" t="s">
        <v>168</v>
      </c>
      <c r="P24" s="94" t="s">
        <v>168</v>
      </c>
      <c r="Q24" s="99" t="s">
        <v>168</v>
      </c>
      <c r="R24" s="123" t="s">
        <v>168</v>
      </c>
      <c r="S24" s="120" t="s">
        <v>168</v>
      </c>
      <c r="T24" s="121" t="s">
        <v>168</v>
      </c>
      <c r="U24" s="120" t="s">
        <v>168</v>
      </c>
      <c r="V24" s="120" t="s">
        <v>168</v>
      </c>
      <c r="W24" s="121" t="s">
        <v>168</v>
      </c>
      <c r="X24" s="120" t="s">
        <v>168</v>
      </c>
      <c r="Y24" s="120" t="s">
        <v>168</v>
      </c>
      <c r="Z24" s="120" t="s">
        <v>168</v>
      </c>
      <c r="AA24" s="120" t="s">
        <v>168</v>
      </c>
      <c r="AB24" s="120" t="s">
        <v>168</v>
      </c>
      <c r="AC24" s="120" t="s">
        <v>168</v>
      </c>
      <c r="AD24" s="120" t="s">
        <v>168</v>
      </c>
      <c r="AE24" s="120" t="s">
        <v>168</v>
      </c>
      <c r="AF24" s="126" t="s">
        <v>168</v>
      </c>
      <c r="AG24" s="112" t="s">
        <v>168</v>
      </c>
      <c r="AH24" s="94" t="s">
        <v>168</v>
      </c>
      <c r="AI24" s="95" t="s">
        <v>168</v>
      </c>
      <c r="AJ24" s="112" t="s">
        <v>168</v>
      </c>
      <c r="AK24" s="94" t="s">
        <v>168</v>
      </c>
      <c r="AL24" s="95" t="s">
        <v>168</v>
      </c>
      <c r="AM24" s="112" t="s">
        <v>168</v>
      </c>
      <c r="AN24" s="94" t="s">
        <v>168</v>
      </c>
      <c r="AO24" s="95" t="s">
        <v>168</v>
      </c>
      <c r="AP24" s="94" t="s">
        <v>168</v>
      </c>
      <c r="AQ24" s="94" t="s">
        <v>168</v>
      </c>
      <c r="AR24" s="94" t="s">
        <v>168</v>
      </c>
      <c r="AS24" s="94" t="s">
        <v>168</v>
      </c>
      <c r="AT24" s="94" t="s">
        <v>168</v>
      </c>
      <c r="AU24" s="99" t="s">
        <v>168</v>
      </c>
    </row>
    <row r="25" spans="1:47" ht="24.75" customHeight="1">
      <c r="A25" s="55">
        <v>3</v>
      </c>
      <c r="B25" s="59" t="s">
        <v>103</v>
      </c>
      <c r="C25" s="111">
        <f>SUM(C26:C29)</f>
        <v>69</v>
      </c>
      <c r="D25" s="92">
        <f>SUM(D26:D29)</f>
        <v>50</v>
      </c>
      <c r="E25" s="93">
        <f>D25/C25</f>
        <v>0.7246376811594203</v>
      </c>
      <c r="F25" s="94"/>
      <c r="G25" s="94"/>
      <c r="H25" s="95" t="s">
        <v>168</v>
      </c>
      <c r="I25" s="92">
        <f>SUM(I26:I29)</f>
        <v>4</v>
      </c>
      <c r="J25" s="92">
        <f>SUM(J26:J29)</f>
        <v>3</v>
      </c>
      <c r="K25" s="93">
        <f>J25/I25</f>
        <v>0.75</v>
      </c>
      <c r="L25" s="94" t="s">
        <v>168</v>
      </c>
      <c r="M25" s="94" t="s">
        <v>168</v>
      </c>
      <c r="N25" s="94" t="s">
        <v>168</v>
      </c>
      <c r="O25" s="94" t="s">
        <v>168</v>
      </c>
      <c r="P25" s="94" t="s">
        <v>168</v>
      </c>
      <c r="Q25" s="99" t="s">
        <v>168</v>
      </c>
      <c r="R25" s="117">
        <v>172</v>
      </c>
      <c r="S25" s="118">
        <v>364</v>
      </c>
      <c r="T25" s="119">
        <f>S25/R25</f>
        <v>2.116279069767442</v>
      </c>
      <c r="U25" s="120"/>
      <c r="V25" s="120"/>
      <c r="W25" s="121"/>
      <c r="X25" s="120"/>
      <c r="Y25" s="120"/>
      <c r="Z25" s="120"/>
      <c r="AA25" s="120"/>
      <c r="AB25" s="120"/>
      <c r="AC25" s="120"/>
      <c r="AD25" s="120"/>
      <c r="AE25" s="120"/>
      <c r="AF25" s="126"/>
      <c r="AG25" s="113">
        <f>C25+R25</f>
        <v>241</v>
      </c>
      <c r="AH25" s="113">
        <f>D25+S25</f>
        <v>414</v>
      </c>
      <c r="AI25" s="93">
        <f>AH25/AG25</f>
        <v>1.7178423236514522</v>
      </c>
      <c r="AJ25" s="113">
        <f>F25+U25</f>
        <v>0</v>
      </c>
      <c r="AK25" s="113">
        <f>G25+V25</f>
        <v>0</v>
      </c>
      <c r="AL25" s="95" t="s">
        <v>168</v>
      </c>
      <c r="AM25" s="113">
        <f>I25+X25</f>
        <v>4</v>
      </c>
      <c r="AN25" s="113">
        <f>J25+Y25</f>
        <v>3</v>
      </c>
      <c r="AO25" s="93">
        <f>AN25/AM25</f>
        <v>0.75</v>
      </c>
      <c r="AP25" s="94" t="s">
        <v>168</v>
      </c>
      <c r="AQ25" s="94" t="s">
        <v>168</v>
      </c>
      <c r="AR25" s="94" t="s">
        <v>168</v>
      </c>
      <c r="AS25" s="94" t="s">
        <v>168</v>
      </c>
      <c r="AT25" s="94" t="s">
        <v>168</v>
      </c>
      <c r="AU25" s="99" t="s">
        <v>168</v>
      </c>
    </row>
    <row r="26" spans="1:47" ht="24.75" customHeight="1">
      <c r="A26" s="56" t="s">
        <v>36</v>
      </c>
      <c r="B26" s="58" t="s">
        <v>78</v>
      </c>
      <c r="C26" s="111">
        <v>18</v>
      </c>
      <c r="D26" s="92">
        <v>10</v>
      </c>
      <c r="E26" s="93">
        <f>D26/C26</f>
        <v>0.5555555555555556</v>
      </c>
      <c r="F26" s="92"/>
      <c r="G26" s="92"/>
      <c r="H26" s="95" t="s">
        <v>168</v>
      </c>
      <c r="I26" s="92">
        <v>4</v>
      </c>
      <c r="J26" s="92">
        <v>3</v>
      </c>
      <c r="K26" s="93">
        <f>J26/I26</f>
        <v>0.75</v>
      </c>
      <c r="L26" s="94" t="s">
        <v>168</v>
      </c>
      <c r="M26" s="94" t="s">
        <v>168</v>
      </c>
      <c r="N26" s="94" t="s">
        <v>168</v>
      </c>
      <c r="O26" s="92"/>
      <c r="P26" s="92"/>
      <c r="Q26" s="100"/>
      <c r="R26" s="117">
        <v>23</v>
      </c>
      <c r="S26" s="118">
        <v>59</v>
      </c>
      <c r="T26" s="119">
        <f>S26/R26</f>
        <v>2.5652173913043477</v>
      </c>
      <c r="U26" s="120"/>
      <c r="V26" s="120"/>
      <c r="W26" s="121"/>
      <c r="X26" s="120"/>
      <c r="Y26" s="120"/>
      <c r="Z26" s="120"/>
      <c r="AA26" s="120"/>
      <c r="AB26" s="120"/>
      <c r="AC26" s="120"/>
      <c r="AD26" s="120"/>
      <c r="AE26" s="120"/>
      <c r="AF26" s="126"/>
      <c r="AG26" s="113">
        <f>C26+R26</f>
        <v>41</v>
      </c>
      <c r="AH26" s="113">
        <f>D26+S26</f>
        <v>69</v>
      </c>
      <c r="AI26" s="93">
        <f>AH26/AG26</f>
        <v>1.6829268292682926</v>
      </c>
      <c r="AJ26" s="113">
        <f>F26+U26</f>
        <v>0</v>
      </c>
      <c r="AK26" s="113">
        <f>G26+V26</f>
        <v>0</v>
      </c>
      <c r="AL26" s="95" t="s">
        <v>168</v>
      </c>
      <c r="AM26" s="113">
        <f>I26+X26</f>
        <v>4</v>
      </c>
      <c r="AN26" s="113">
        <f>J26+Y26</f>
        <v>3</v>
      </c>
      <c r="AO26" s="93">
        <f>AN26/AM26</f>
        <v>0.75</v>
      </c>
      <c r="AP26" s="94" t="s">
        <v>168</v>
      </c>
      <c r="AQ26" s="94" t="s">
        <v>168</v>
      </c>
      <c r="AR26" s="94" t="s">
        <v>168</v>
      </c>
      <c r="AS26" s="92"/>
      <c r="AT26" s="92"/>
      <c r="AU26" s="100"/>
    </row>
    <row r="27" spans="1:47" ht="46.5" customHeight="1">
      <c r="A27" s="56" t="s">
        <v>37</v>
      </c>
      <c r="B27" s="58" t="s">
        <v>104</v>
      </c>
      <c r="C27" s="112" t="s">
        <v>168</v>
      </c>
      <c r="D27" s="94" t="s">
        <v>168</v>
      </c>
      <c r="E27" s="95" t="s">
        <v>168</v>
      </c>
      <c r="F27" s="94" t="s">
        <v>168</v>
      </c>
      <c r="G27" s="94" t="s">
        <v>168</v>
      </c>
      <c r="H27" s="95" t="s">
        <v>168</v>
      </c>
      <c r="I27" s="94" t="s">
        <v>168</v>
      </c>
      <c r="J27" s="94" t="s">
        <v>168</v>
      </c>
      <c r="K27" s="95" t="s">
        <v>168</v>
      </c>
      <c r="L27" s="94" t="s">
        <v>168</v>
      </c>
      <c r="M27" s="94" t="s">
        <v>168</v>
      </c>
      <c r="N27" s="94" t="s">
        <v>168</v>
      </c>
      <c r="O27" s="94" t="s">
        <v>168</v>
      </c>
      <c r="P27" s="94" t="s">
        <v>168</v>
      </c>
      <c r="Q27" s="99" t="s">
        <v>168</v>
      </c>
      <c r="R27" s="123" t="s">
        <v>168</v>
      </c>
      <c r="S27" s="120" t="s">
        <v>168</v>
      </c>
      <c r="T27" s="121" t="s">
        <v>168</v>
      </c>
      <c r="U27" s="120" t="s">
        <v>168</v>
      </c>
      <c r="V27" s="120" t="s">
        <v>168</v>
      </c>
      <c r="W27" s="121" t="s">
        <v>168</v>
      </c>
      <c r="X27" s="120" t="s">
        <v>168</v>
      </c>
      <c r="Y27" s="120" t="s">
        <v>168</v>
      </c>
      <c r="Z27" s="120" t="s">
        <v>168</v>
      </c>
      <c r="AA27" s="120" t="s">
        <v>168</v>
      </c>
      <c r="AB27" s="120" t="s">
        <v>168</v>
      </c>
      <c r="AC27" s="120" t="s">
        <v>168</v>
      </c>
      <c r="AD27" s="120" t="s">
        <v>168</v>
      </c>
      <c r="AE27" s="120" t="s">
        <v>168</v>
      </c>
      <c r="AF27" s="126" t="s">
        <v>168</v>
      </c>
      <c r="AG27" s="112" t="s">
        <v>168</v>
      </c>
      <c r="AH27" s="94" t="s">
        <v>168</v>
      </c>
      <c r="AI27" s="95" t="s">
        <v>168</v>
      </c>
      <c r="AJ27" s="112" t="s">
        <v>168</v>
      </c>
      <c r="AK27" s="94" t="s">
        <v>168</v>
      </c>
      <c r="AL27" s="95" t="s">
        <v>168</v>
      </c>
      <c r="AM27" s="112" t="s">
        <v>168</v>
      </c>
      <c r="AN27" s="94" t="s">
        <v>168</v>
      </c>
      <c r="AO27" s="95" t="s">
        <v>168</v>
      </c>
      <c r="AP27" s="94" t="s">
        <v>168</v>
      </c>
      <c r="AQ27" s="94" t="s">
        <v>168</v>
      </c>
      <c r="AR27" s="94" t="s">
        <v>168</v>
      </c>
      <c r="AS27" s="94" t="s">
        <v>168</v>
      </c>
      <c r="AT27" s="94" t="s">
        <v>168</v>
      </c>
      <c r="AU27" s="99" t="s">
        <v>168</v>
      </c>
    </row>
    <row r="28" spans="1:47" ht="27" customHeight="1">
      <c r="A28" s="56" t="s">
        <v>38</v>
      </c>
      <c r="B28" s="58" t="s">
        <v>105</v>
      </c>
      <c r="C28" s="112" t="s">
        <v>168</v>
      </c>
      <c r="D28" s="94" t="s">
        <v>168</v>
      </c>
      <c r="E28" s="95" t="s">
        <v>168</v>
      </c>
      <c r="F28" s="94" t="s">
        <v>168</v>
      </c>
      <c r="G28" s="94" t="s">
        <v>168</v>
      </c>
      <c r="H28" s="95" t="s">
        <v>168</v>
      </c>
      <c r="I28" s="94" t="s">
        <v>168</v>
      </c>
      <c r="J28" s="94" t="s">
        <v>168</v>
      </c>
      <c r="K28" s="95" t="s">
        <v>168</v>
      </c>
      <c r="L28" s="94" t="s">
        <v>168</v>
      </c>
      <c r="M28" s="94" t="s">
        <v>168</v>
      </c>
      <c r="N28" s="94" t="s">
        <v>168</v>
      </c>
      <c r="O28" s="94" t="s">
        <v>168</v>
      </c>
      <c r="P28" s="94" t="s">
        <v>168</v>
      </c>
      <c r="Q28" s="99" t="s">
        <v>168</v>
      </c>
      <c r="R28" s="123" t="s">
        <v>168</v>
      </c>
      <c r="S28" s="120" t="s">
        <v>168</v>
      </c>
      <c r="T28" s="121" t="s">
        <v>168</v>
      </c>
      <c r="U28" s="120" t="s">
        <v>168</v>
      </c>
      <c r="V28" s="120" t="s">
        <v>168</v>
      </c>
      <c r="W28" s="121" t="s">
        <v>168</v>
      </c>
      <c r="X28" s="120" t="s">
        <v>168</v>
      </c>
      <c r="Y28" s="120" t="s">
        <v>168</v>
      </c>
      <c r="Z28" s="120" t="s">
        <v>168</v>
      </c>
      <c r="AA28" s="120" t="s">
        <v>168</v>
      </c>
      <c r="AB28" s="120" t="s">
        <v>168</v>
      </c>
      <c r="AC28" s="120" t="s">
        <v>168</v>
      </c>
      <c r="AD28" s="120" t="s">
        <v>168</v>
      </c>
      <c r="AE28" s="120" t="s">
        <v>168</v>
      </c>
      <c r="AF28" s="126" t="s">
        <v>168</v>
      </c>
      <c r="AG28" s="112" t="s">
        <v>168</v>
      </c>
      <c r="AH28" s="94" t="s">
        <v>168</v>
      </c>
      <c r="AI28" s="95" t="s">
        <v>168</v>
      </c>
      <c r="AJ28" s="112" t="s">
        <v>168</v>
      </c>
      <c r="AK28" s="94" t="s">
        <v>168</v>
      </c>
      <c r="AL28" s="95" t="s">
        <v>168</v>
      </c>
      <c r="AM28" s="112" t="s">
        <v>168</v>
      </c>
      <c r="AN28" s="94" t="s">
        <v>168</v>
      </c>
      <c r="AO28" s="95" t="s">
        <v>168</v>
      </c>
      <c r="AP28" s="94" t="s">
        <v>168</v>
      </c>
      <c r="AQ28" s="94" t="s">
        <v>168</v>
      </c>
      <c r="AR28" s="94" t="s">
        <v>168</v>
      </c>
      <c r="AS28" s="94" t="s">
        <v>168</v>
      </c>
      <c r="AT28" s="94" t="s">
        <v>168</v>
      </c>
      <c r="AU28" s="99" t="s">
        <v>168</v>
      </c>
    </row>
    <row r="29" spans="1:47" ht="31.5" customHeight="1" thickBot="1">
      <c r="A29" s="102" t="s">
        <v>39</v>
      </c>
      <c r="B29" s="109" t="s">
        <v>100</v>
      </c>
      <c r="C29" s="114">
        <v>51</v>
      </c>
      <c r="D29" s="103">
        <v>40</v>
      </c>
      <c r="E29" s="104">
        <f>D29/C29</f>
        <v>0.7843137254901961</v>
      </c>
      <c r="F29" s="105"/>
      <c r="G29" s="105"/>
      <c r="H29" s="106"/>
      <c r="I29" s="105"/>
      <c r="J29" s="105"/>
      <c r="K29" s="106"/>
      <c r="L29" s="105"/>
      <c r="M29" s="105"/>
      <c r="N29" s="105"/>
      <c r="O29" s="105"/>
      <c r="P29" s="105"/>
      <c r="Q29" s="107"/>
      <c r="R29" s="127">
        <v>149</v>
      </c>
      <c r="S29" s="128">
        <v>305</v>
      </c>
      <c r="T29" s="129">
        <f>S29/R29</f>
        <v>2.046979865771812</v>
      </c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13">
        <f>C29+R29</f>
        <v>200</v>
      </c>
      <c r="AH29" s="113">
        <f>D29+S29</f>
        <v>345</v>
      </c>
      <c r="AI29" s="104">
        <f>AH29/AG29</f>
        <v>1.725</v>
      </c>
      <c r="AJ29" s="113">
        <f>F29+U29</f>
        <v>0</v>
      </c>
      <c r="AK29" s="113">
        <f>G29+V29</f>
        <v>0</v>
      </c>
      <c r="AL29" s="106" t="s">
        <v>168</v>
      </c>
      <c r="AM29" s="113">
        <f>I29+X29</f>
        <v>0</v>
      </c>
      <c r="AN29" s="113">
        <f>J29+Y29</f>
        <v>0</v>
      </c>
      <c r="AO29" s="106" t="s">
        <v>168</v>
      </c>
      <c r="AP29" s="105" t="s">
        <v>168</v>
      </c>
      <c r="AQ29" s="105" t="s">
        <v>168</v>
      </c>
      <c r="AR29" s="105" t="s">
        <v>168</v>
      </c>
      <c r="AS29" s="105" t="s">
        <v>168</v>
      </c>
      <c r="AT29" s="105" t="s">
        <v>168</v>
      </c>
      <c r="AU29" s="107" t="s">
        <v>168</v>
      </c>
    </row>
    <row r="30" ht="15">
      <c r="H30" s="31"/>
    </row>
    <row r="34" spans="5:7" ht="15">
      <c r="E34" s="31"/>
      <c r="F34" s="31"/>
      <c r="G34" s="32"/>
    </row>
    <row r="35" spans="5:7" ht="15">
      <c r="E35" s="32"/>
      <c r="F35" s="32"/>
      <c r="G35" s="32"/>
    </row>
    <row r="36" spans="5:7" ht="15">
      <c r="E36" s="32"/>
      <c r="F36" s="32"/>
      <c r="G36" s="31"/>
    </row>
    <row r="37" spans="5:7" ht="15">
      <c r="E37" s="32"/>
      <c r="F37" s="32"/>
      <c r="G37" s="32"/>
    </row>
  </sheetData>
  <sheetProtection/>
  <mergeCells count="25">
    <mergeCell ref="AG4:AU4"/>
    <mergeCell ref="AG5:AU5"/>
    <mergeCell ref="AG6:AI6"/>
    <mergeCell ref="AJ6:AL6"/>
    <mergeCell ref="AM6:AO6"/>
    <mergeCell ref="AP6:AR6"/>
    <mergeCell ref="AS6:AU6"/>
    <mergeCell ref="A4:A7"/>
    <mergeCell ref="R4:AF4"/>
    <mergeCell ref="R5:AF5"/>
    <mergeCell ref="R6:T6"/>
    <mergeCell ref="U6:W6"/>
    <mergeCell ref="X6:Z6"/>
    <mergeCell ref="AA6:AC6"/>
    <mergeCell ref="AD6:AF6"/>
    <mergeCell ref="A1:Q1"/>
    <mergeCell ref="A3:Q3"/>
    <mergeCell ref="C5:Q5"/>
    <mergeCell ref="C6:E6"/>
    <mergeCell ref="F6:H6"/>
    <mergeCell ref="I6:K6"/>
    <mergeCell ref="L6:N6"/>
    <mergeCell ref="O6:Q6"/>
    <mergeCell ref="C4:Q4"/>
    <mergeCell ref="B4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"/>
  <sheetViews>
    <sheetView zoomScale="75" zoomScaleNormal="75" zoomScalePageLayoutView="0" workbookViewId="0" topLeftCell="A1">
      <selection activeCell="I6" sqref="I6"/>
    </sheetView>
  </sheetViews>
  <sheetFormatPr defaultColWidth="9.140625" defaultRowHeight="15"/>
  <cols>
    <col min="1" max="1" width="2.7109375" style="0" customWidth="1"/>
    <col min="2" max="2" width="13.7109375" style="0" customWidth="1"/>
    <col min="3" max="3" width="16.57421875" style="0" customWidth="1"/>
    <col min="4" max="4" width="20.00390625" style="0" customWidth="1"/>
    <col min="5" max="5" width="20.7109375" style="0" customWidth="1"/>
    <col min="6" max="6" width="14.140625" style="0" customWidth="1"/>
    <col min="7" max="7" width="51.00390625" style="0" customWidth="1"/>
    <col min="8" max="8" width="11.8515625" style="0" customWidth="1"/>
    <col min="9" max="9" width="13.8515625" style="0" customWidth="1"/>
    <col min="10" max="10" width="13.28125" style="0" customWidth="1"/>
    <col min="11" max="11" width="14.57421875" style="0" customWidth="1"/>
  </cols>
  <sheetData>
    <row r="1" spans="1:11" ht="21">
      <c r="A1" s="521" t="s">
        <v>121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ht="15">
      <c r="A2" s="2"/>
    </row>
    <row r="3" spans="1:11" ht="152.25" customHeight="1">
      <c r="A3" s="4" t="s">
        <v>10</v>
      </c>
      <c r="B3" s="4" t="s">
        <v>115</v>
      </c>
      <c r="C3" s="4" t="s">
        <v>122</v>
      </c>
      <c r="D3" s="4" t="s">
        <v>116</v>
      </c>
      <c r="E3" s="4" t="s">
        <v>117</v>
      </c>
      <c r="F3" s="4" t="s">
        <v>118</v>
      </c>
      <c r="G3" s="4" t="s">
        <v>123</v>
      </c>
      <c r="H3" s="4" t="s">
        <v>119</v>
      </c>
      <c r="I3" s="4" t="s">
        <v>124</v>
      </c>
      <c r="J3" s="4" t="s">
        <v>125</v>
      </c>
      <c r="K3" s="4" t="s">
        <v>120</v>
      </c>
    </row>
    <row r="4" spans="1:11" ht="1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ht="158.25" customHeight="1">
      <c r="A5" s="4">
        <v>1</v>
      </c>
      <c r="B5" s="4">
        <v>1</v>
      </c>
      <c r="C5" s="4" t="s">
        <v>158</v>
      </c>
      <c r="D5" s="4" t="s">
        <v>159</v>
      </c>
      <c r="E5" s="220" t="s">
        <v>356</v>
      </c>
      <c r="F5" s="4" t="s">
        <v>160</v>
      </c>
      <c r="G5" s="20" t="s">
        <v>161</v>
      </c>
      <c r="H5" s="22" t="s">
        <v>162</v>
      </c>
      <c r="I5" s="4">
        <v>15</v>
      </c>
      <c r="J5" s="4">
        <v>0</v>
      </c>
      <c r="K5" s="4">
        <v>0</v>
      </c>
    </row>
    <row r="6" spans="1:11" ht="165">
      <c r="A6" s="34">
        <v>2</v>
      </c>
      <c r="B6" s="34">
        <v>1</v>
      </c>
      <c r="C6" s="34" t="s">
        <v>158</v>
      </c>
      <c r="D6" s="221" t="s">
        <v>410</v>
      </c>
      <c r="E6" s="221" t="s">
        <v>411</v>
      </c>
      <c r="F6" s="34" t="s">
        <v>160</v>
      </c>
      <c r="G6" s="20" t="s">
        <v>161</v>
      </c>
      <c r="H6" s="22" t="s">
        <v>162</v>
      </c>
      <c r="I6" s="34">
        <v>15</v>
      </c>
      <c r="J6" s="34">
        <v>0</v>
      </c>
      <c r="K6" s="34">
        <v>0</v>
      </c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14"/>
  <sheetViews>
    <sheetView zoomScalePageLayoutView="0" workbookViewId="0" topLeftCell="A1">
      <selection activeCell="E4" sqref="E4:E7"/>
    </sheetView>
  </sheetViews>
  <sheetFormatPr defaultColWidth="9.140625" defaultRowHeight="15"/>
  <cols>
    <col min="1" max="1" width="4.7109375" style="0" customWidth="1"/>
    <col min="2" max="2" width="70.00390625" style="0" customWidth="1"/>
    <col min="3" max="3" width="14.140625" style="0" customWidth="1"/>
    <col min="4" max="4" width="20.00390625" style="0" customWidth="1"/>
    <col min="5" max="5" width="21.7109375" style="0" customWidth="1"/>
  </cols>
  <sheetData>
    <row r="1" spans="1:4" ht="59.25" customHeight="1">
      <c r="A1" s="451" t="s">
        <v>126</v>
      </c>
      <c r="B1" s="451"/>
      <c r="C1" s="451"/>
      <c r="D1" s="451"/>
    </row>
    <row r="2" ht="15">
      <c r="A2" s="2"/>
    </row>
    <row r="3" spans="1:5" ht="36.75" customHeight="1">
      <c r="A3" s="4" t="s">
        <v>10</v>
      </c>
      <c r="B3" s="4" t="s">
        <v>127</v>
      </c>
      <c r="C3" s="4" t="s">
        <v>128</v>
      </c>
      <c r="D3" s="6" t="s">
        <v>249</v>
      </c>
      <c r="E3" s="6" t="s">
        <v>250</v>
      </c>
    </row>
    <row r="4" spans="1:5" ht="20.25" customHeight="1">
      <c r="A4" s="522">
        <v>1</v>
      </c>
      <c r="B4" s="523" t="s">
        <v>129</v>
      </c>
      <c r="C4" s="522" t="s">
        <v>132</v>
      </c>
      <c r="D4" s="526" t="s">
        <v>164</v>
      </c>
      <c r="E4" s="529" t="s">
        <v>418</v>
      </c>
    </row>
    <row r="5" spans="1:5" ht="18.75" customHeight="1">
      <c r="A5" s="522"/>
      <c r="B5" s="524"/>
      <c r="C5" s="522"/>
      <c r="D5" s="527"/>
      <c r="E5" s="530"/>
    </row>
    <row r="6" spans="1:5" ht="18.75" customHeight="1">
      <c r="A6" s="522"/>
      <c r="B6" s="524"/>
      <c r="C6" s="522"/>
      <c r="D6" s="527"/>
      <c r="E6" s="530"/>
    </row>
    <row r="7" spans="1:5" ht="18.75" customHeight="1">
      <c r="A7" s="522"/>
      <c r="B7" s="525"/>
      <c r="C7" s="522"/>
      <c r="D7" s="528"/>
      <c r="E7" s="531"/>
    </row>
    <row r="8" spans="1:5" ht="18.75" customHeight="1">
      <c r="A8" s="522"/>
      <c r="B8" s="5" t="s">
        <v>130</v>
      </c>
      <c r="C8" s="522"/>
      <c r="D8" s="4" t="s">
        <v>163</v>
      </c>
      <c r="E8" s="222" t="s">
        <v>412</v>
      </c>
    </row>
    <row r="9" spans="1:5" ht="18" customHeight="1">
      <c r="A9" s="522"/>
      <c r="B9" s="5" t="s">
        <v>131</v>
      </c>
      <c r="C9" s="522"/>
      <c r="D9" s="21" t="s">
        <v>165</v>
      </c>
      <c r="E9" s="21" t="s">
        <v>165</v>
      </c>
    </row>
    <row r="10" spans="1:5" ht="28.5" customHeight="1">
      <c r="A10" s="4">
        <v>2</v>
      </c>
      <c r="B10" s="6" t="s">
        <v>133</v>
      </c>
      <c r="C10" s="4" t="s">
        <v>134</v>
      </c>
      <c r="D10" s="21" t="s">
        <v>165</v>
      </c>
      <c r="E10" s="21" t="s">
        <v>165</v>
      </c>
    </row>
    <row r="11" spans="1:5" ht="30">
      <c r="A11" s="17" t="s">
        <v>32</v>
      </c>
      <c r="B11" s="6" t="s">
        <v>135</v>
      </c>
      <c r="C11" s="4" t="s">
        <v>134</v>
      </c>
      <c r="D11" s="21" t="s">
        <v>165</v>
      </c>
      <c r="E11" s="21" t="s">
        <v>165</v>
      </c>
    </row>
    <row r="12" spans="1:5" ht="30">
      <c r="A12" s="17" t="s">
        <v>33</v>
      </c>
      <c r="B12" s="6" t="s">
        <v>136</v>
      </c>
      <c r="C12" s="4" t="s">
        <v>134</v>
      </c>
      <c r="D12" s="21" t="s">
        <v>165</v>
      </c>
      <c r="E12" s="21" t="s">
        <v>165</v>
      </c>
    </row>
    <row r="13" spans="1:5" ht="32.25" customHeight="1">
      <c r="A13" s="4">
        <v>3</v>
      </c>
      <c r="B13" s="6" t="s">
        <v>138</v>
      </c>
      <c r="C13" s="4" t="s">
        <v>137</v>
      </c>
      <c r="D13" s="21" t="s">
        <v>165</v>
      </c>
      <c r="E13" s="21" t="s">
        <v>165</v>
      </c>
    </row>
    <row r="14" spans="1:5" ht="30.75" customHeight="1">
      <c r="A14" s="4">
        <v>4</v>
      </c>
      <c r="B14" s="6" t="s">
        <v>139</v>
      </c>
      <c r="C14" s="4" t="s">
        <v>137</v>
      </c>
      <c r="D14" s="21" t="s">
        <v>165</v>
      </c>
      <c r="E14" s="21" t="s">
        <v>165</v>
      </c>
    </row>
  </sheetData>
  <sheetProtection/>
  <mergeCells count="6">
    <mergeCell ref="A4:A9"/>
    <mergeCell ref="C4:C9"/>
    <mergeCell ref="A1:D1"/>
    <mergeCell ref="B4:B7"/>
    <mergeCell ref="D4:D7"/>
    <mergeCell ref="E4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E69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3" max="3" width="17.00390625" style="0" customWidth="1"/>
  </cols>
  <sheetData>
    <row r="1" spans="1:15" ht="21">
      <c r="A1" s="521" t="s">
        <v>195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</row>
    <row r="3" ht="15.75" thickBot="1">
      <c r="A3" s="2"/>
    </row>
    <row r="4" spans="1:31" ht="45" customHeight="1" thickBot="1">
      <c r="A4" s="532" t="s">
        <v>10</v>
      </c>
      <c r="B4" s="532" t="s">
        <v>169</v>
      </c>
      <c r="C4" s="532" t="s">
        <v>170</v>
      </c>
      <c r="D4" s="532" t="s">
        <v>171</v>
      </c>
      <c r="E4" s="534" t="s">
        <v>172</v>
      </c>
      <c r="F4" s="535"/>
      <c r="G4" s="535"/>
      <c r="H4" s="535"/>
      <c r="I4" s="536"/>
      <c r="J4" s="534" t="s">
        <v>173</v>
      </c>
      <c r="K4" s="535"/>
      <c r="L4" s="535"/>
      <c r="M4" s="535"/>
      <c r="N4" s="535"/>
      <c r="O4" s="536"/>
      <c r="P4" s="534" t="s">
        <v>196</v>
      </c>
      <c r="Q4" s="535"/>
      <c r="R4" s="535"/>
      <c r="S4" s="535"/>
      <c r="T4" s="535"/>
      <c r="U4" s="535"/>
      <c r="V4" s="536"/>
      <c r="W4" s="534" t="s">
        <v>174</v>
      </c>
      <c r="X4" s="535"/>
      <c r="Y4" s="535"/>
      <c r="Z4" s="536"/>
      <c r="AA4" s="534" t="s">
        <v>175</v>
      </c>
      <c r="AB4" s="535"/>
      <c r="AC4" s="536"/>
      <c r="AD4" s="534" t="s">
        <v>197</v>
      </c>
      <c r="AE4" s="536"/>
    </row>
    <row r="5" spans="1:31" ht="165.75" thickBot="1">
      <c r="A5" s="533"/>
      <c r="B5" s="533"/>
      <c r="C5" s="533"/>
      <c r="D5" s="533"/>
      <c r="E5" s="115" t="s">
        <v>176</v>
      </c>
      <c r="F5" s="115" t="s">
        <v>177</v>
      </c>
      <c r="G5" s="115" t="s">
        <v>178</v>
      </c>
      <c r="H5" s="115" t="s">
        <v>179</v>
      </c>
      <c r="I5" s="115" t="s">
        <v>93</v>
      </c>
      <c r="J5" s="115" t="s">
        <v>180</v>
      </c>
      <c r="K5" s="115" t="s">
        <v>181</v>
      </c>
      <c r="L5" s="115" t="s">
        <v>182</v>
      </c>
      <c r="M5" s="115" t="s">
        <v>183</v>
      </c>
      <c r="N5" s="115" t="s">
        <v>184</v>
      </c>
      <c r="O5" s="115" t="s">
        <v>93</v>
      </c>
      <c r="P5" s="115" t="s">
        <v>185</v>
      </c>
      <c r="Q5" s="115" t="s">
        <v>186</v>
      </c>
      <c r="R5" s="115" t="s">
        <v>181</v>
      </c>
      <c r="S5" s="115" t="s">
        <v>182</v>
      </c>
      <c r="T5" s="115" t="s">
        <v>183</v>
      </c>
      <c r="U5" s="115" t="s">
        <v>184</v>
      </c>
      <c r="V5" s="115" t="s">
        <v>93</v>
      </c>
      <c r="W5" s="115" t="s">
        <v>187</v>
      </c>
      <c r="X5" s="115" t="s">
        <v>188</v>
      </c>
      <c r="Y5" s="115" t="s">
        <v>189</v>
      </c>
      <c r="Z5" s="115" t="s">
        <v>93</v>
      </c>
      <c r="AA5" s="115" t="s">
        <v>190</v>
      </c>
      <c r="AB5" s="115" t="s">
        <v>191</v>
      </c>
      <c r="AC5" s="115" t="s">
        <v>192</v>
      </c>
      <c r="AD5" s="115" t="s">
        <v>193</v>
      </c>
      <c r="AE5" s="115" t="s">
        <v>194</v>
      </c>
    </row>
    <row r="6" spans="1:31" ht="15.75" thickBot="1">
      <c r="A6" s="116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15">
        <v>12</v>
      </c>
      <c r="M6" s="115">
        <v>13</v>
      </c>
      <c r="N6" s="115">
        <v>14</v>
      </c>
      <c r="O6" s="115">
        <v>15</v>
      </c>
      <c r="P6" s="115">
        <v>16</v>
      </c>
      <c r="Q6" s="115">
        <v>17</v>
      </c>
      <c r="R6" s="115">
        <v>18</v>
      </c>
      <c r="S6" s="115">
        <v>19</v>
      </c>
      <c r="T6" s="115">
        <v>20</v>
      </c>
      <c r="U6" s="115">
        <v>21</v>
      </c>
      <c r="V6" s="115">
        <v>22</v>
      </c>
      <c r="W6" s="115">
        <v>23</v>
      </c>
      <c r="X6" s="115">
        <v>24</v>
      </c>
      <c r="Y6" s="115">
        <v>25</v>
      </c>
      <c r="Z6" s="115">
        <v>26</v>
      </c>
      <c r="AA6" s="115">
        <v>27</v>
      </c>
      <c r="AB6" s="115">
        <v>28</v>
      </c>
      <c r="AC6" s="115">
        <v>29</v>
      </c>
      <c r="AD6" s="115">
        <v>30</v>
      </c>
      <c r="AE6" s="115">
        <v>31</v>
      </c>
    </row>
    <row r="7" spans="1:31" ht="24" customHeight="1" thickBot="1">
      <c r="A7" s="116"/>
      <c r="B7" s="537" t="s">
        <v>249</v>
      </c>
      <c r="C7" s="538"/>
      <c r="D7" s="538"/>
      <c r="E7" s="538"/>
      <c r="F7" s="538"/>
      <c r="G7" s="538"/>
      <c r="H7" s="538"/>
      <c r="I7" s="538"/>
      <c r="J7" s="539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s="30" customFormat="1" ht="15.75" thickBot="1">
      <c r="A8" s="27">
        <v>1</v>
      </c>
      <c r="B8" s="28" t="s">
        <v>232</v>
      </c>
      <c r="C8" s="29">
        <v>42016</v>
      </c>
      <c r="D8" s="28" t="s">
        <v>233</v>
      </c>
      <c r="E8" s="28" t="s">
        <v>234</v>
      </c>
      <c r="F8" s="28"/>
      <c r="G8" s="28"/>
      <c r="H8" s="28"/>
      <c r="I8" s="28"/>
      <c r="J8" s="28"/>
      <c r="K8" s="28" t="s">
        <v>234</v>
      </c>
      <c r="L8" s="28"/>
      <c r="M8" s="28"/>
      <c r="N8" s="28"/>
      <c r="O8" s="28"/>
      <c r="P8" s="28"/>
      <c r="Q8" s="28"/>
      <c r="R8" s="28" t="s">
        <v>231</v>
      </c>
      <c r="S8" s="28"/>
      <c r="T8" s="28"/>
      <c r="U8" s="28"/>
      <c r="V8" s="28"/>
      <c r="W8" s="28" t="s">
        <v>234</v>
      </c>
      <c r="X8" s="28"/>
      <c r="Y8" s="28"/>
      <c r="Z8" s="28"/>
      <c r="AA8" s="28" t="s">
        <v>235</v>
      </c>
      <c r="AB8" s="28"/>
      <c r="AC8" s="28"/>
      <c r="AD8" s="28" t="s">
        <v>234</v>
      </c>
      <c r="AE8" s="28"/>
    </row>
    <row r="9" spans="1:31" s="30" customFormat="1" ht="15.75" thickBot="1">
      <c r="A9" s="27">
        <v>2</v>
      </c>
      <c r="B9" s="28" t="s">
        <v>236</v>
      </c>
      <c r="C9" s="29">
        <v>42030</v>
      </c>
      <c r="D9" s="28" t="s">
        <v>231</v>
      </c>
      <c r="E9" s="28" t="s">
        <v>234</v>
      </c>
      <c r="F9" s="28"/>
      <c r="G9" s="28"/>
      <c r="H9" s="28"/>
      <c r="I9" s="28"/>
      <c r="J9" s="28"/>
      <c r="K9" s="28" t="s">
        <v>234</v>
      </c>
      <c r="L9" s="28"/>
      <c r="M9" s="28"/>
      <c r="N9" s="28"/>
      <c r="O9" s="28"/>
      <c r="P9" s="28"/>
      <c r="Q9" s="28"/>
      <c r="R9" s="28" t="s">
        <v>231</v>
      </c>
      <c r="S9" s="28"/>
      <c r="T9" s="28"/>
      <c r="U9" s="28"/>
      <c r="V9" s="28"/>
      <c r="W9" s="28" t="s">
        <v>234</v>
      </c>
      <c r="X9" s="28"/>
      <c r="Y9" s="28"/>
      <c r="Z9" s="28"/>
      <c r="AA9" s="28" t="s">
        <v>235</v>
      </c>
      <c r="AB9" s="28"/>
      <c r="AC9" s="28"/>
      <c r="AD9" s="28" t="s">
        <v>234</v>
      </c>
      <c r="AE9" s="28"/>
    </row>
    <row r="10" spans="1:31" s="30" customFormat="1" ht="15.75" thickBot="1">
      <c r="A10" s="27">
        <v>3</v>
      </c>
      <c r="B10" s="28" t="s">
        <v>237</v>
      </c>
      <c r="C10" s="29">
        <v>42090</v>
      </c>
      <c r="D10" s="28" t="s">
        <v>231</v>
      </c>
      <c r="E10" s="28" t="s">
        <v>234</v>
      </c>
      <c r="F10" s="28"/>
      <c r="G10" s="28"/>
      <c r="H10" s="28"/>
      <c r="I10" s="28"/>
      <c r="J10" s="28"/>
      <c r="K10" s="28" t="s">
        <v>234</v>
      </c>
      <c r="L10" s="28"/>
      <c r="M10" s="28"/>
      <c r="N10" s="28"/>
      <c r="O10" s="28"/>
      <c r="P10" s="28"/>
      <c r="Q10" s="28"/>
      <c r="R10" s="28" t="s">
        <v>231</v>
      </c>
      <c r="S10" s="28"/>
      <c r="T10" s="28"/>
      <c r="U10" s="28"/>
      <c r="V10" s="28"/>
      <c r="W10" s="28" t="s">
        <v>234</v>
      </c>
      <c r="X10" s="28"/>
      <c r="Y10" s="28"/>
      <c r="Z10" s="28"/>
      <c r="AA10" s="28" t="s">
        <v>235</v>
      </c>
      <c r="AB10" s="28"/>
      <c r="AC10" s="28"/>
      <c r="AD10" s="28" t="s">
        <v>234</v>
      </c>
      <c r="AE10" s="28"/>
    </row>
    <row r="11" spans="1:31" s="30" customFormat="1" ht="15.75" thickBot="1">
      <c r="A11" s="27">
        <v>4</v>
      </c>
      <c r="B11" s="28" t="s">
        <v>238</v>
      </c>
      <c r="C11" s="29">
        <v>42103</v>
      </c>
      <c r="D11" s="28" t="s">
        <v>231</v>
      </c>
      <c r="E11" s="28" t="s">
        <v>234</v>
      </c>
      <c r="F11" s="28"/>
      <c r="G11" s="28"/>
      <c r="H11" s="28"/>
      <c r="I11" s="28"/>
      <c r="J11" s="28"/>
      <c r="K11" s="28" t="s">
        <v>234</v>
      </c>
      <c r="L11" s="28"/>
      <c r="M11" s="28"/>
      <c r="N11" s="28"/>
      <c r="O11" s="28"/>
      <c r="P11" s="28"/>
      <c r="Q11" s="28"/>
      <c r="R11" s="28" t="s">
        <v>231</v>
      </c>
      <c r="S11" s="28"/>
      <c r="T11" s="28"/>
      <c r="U11" s="28"/>
      <c r="V11" s="28"/>
      <c r="W11" s="28" t="s">
        <v>234</v>
      </c>
      <c r="X11" s="28"/>
      <c r="Y11" s="28"/>
      <c r="Z11" s="28"/>
      <c r="AA11" s="28" t="s">
        <v>235</v>
      </c>
      <c r="AB11" s="28"/>
      <c r="AC11" s="28"/>
      <c r="AD11" s="28" t="s">
        <v>234</v>
      </c>
      <c r="AE11" s="28"/>
    </row>
    <row r="12" spans="1:31" s="30" customFormat="1" ht="15.75" thickBot="1">
      <c r="A12" s="27">
        <v>5</v>
      </c>
      <c r="B12" s="28" t="s">
        <v>239</v>
      </c>
      <c r="C12" s="29">
        <v>42131</v>
      </c>
      <c r="D12" s="28" t="s">
        <v>231</v>
      </c>
      <c r="E12" s="28" t="s">
        <v>234</v>
      </c>
      <c r="F12" s="28"/>
      <c r="G12" s="28"/>
      <c r="H12" s="28"/>
      <c r="I12" s="28"/>
      <c r="J12" s="28"/>
      <c r="K12" s="28" t="s">
        <v>234</v>
      </c>
      <c r="L12" s="28"/>
      <c r="M12" s="28"/>
      <c r="N12" s="28"/>
      <c r="O12" s="28"/>
      <c r="P12" s="28"/>
      <c r="Q12" s="28"/>
      <c r="R12" s="28" t="s">
        <v>231</v>
      </c>
      <c r="S12" s="28"/>
      <c r="T12" s="28"/>
      <c r="U12" s="28"/>
      <c r="V12" s="28"/>
      <c r="W12" s="28" t="s">
        <v>234</v>
      </c>
      <c r="X12" s="28"/>
      <c r="Y12" s="28"/>
      <c r="Z12" s="28"/>
      <c r="AA12" s="28" t="s">
        <v>235</v>
      </c>
      <c r="AB12" s="28"/>
      <c r="AC12" s="28"/>
      <c r="AD12" s="28" t="s">
        <v>234</v>
      </c>
      <c r="AE12" s="28"/>
    </row>
    <row r="13" spans="1:31" s="30" customFormat="1" ht="15.75" thickBot="1">
      <c r="A13" s="27">
        <v>6</v>
      </c>
      <c r="B13" s="28" t="s">
        <v>240</v>
      </c>
      <c r="C13" s="29">
        <v>42158</v>
      </c>
      <c r="D13" s="28" t="s">
        <v>231</v>
      </c>
      <c r="E13" s="28" t="s">
        <v>234</v>
      </c>
      <c r="F13" s="28"/>
      <c r="G13" s="28"/>
      <c r="H13" s="28"/>
      <c r="I13" s="28"/>
      <c r="J13" s="28"/>
      <c r="K13" s="28" t="s">
        <v>234</v>
      </c>
      <c r="L13" s="28"/>
      <c r="M13" s="28"/>
      <c r="N13" s="28"/>
      <c r="O13" s="28"/>
      <c r="P13" s="28"/>
      <c r="Q13" s="28"/>
      <c r="R13" s="28" t="s">
        <v>231</v>
      </c>
      <c r="S13" s="28"/>
      <c r="T13" s="28"/>
      <c r="U13" s="28"/>
      <c r="V13" s="28"/>
      <c r="W13" s="28" t="s">
        <v>234</v>
      </c>
      <c r="X13" s="28"/>
      <c r="Y13" s="28"/>
      <c r="Z13" s="28"/>
      <c r="AA13" s="28" t="s">
        <v>235</v>
      </c>
      <c r="AB13" s="28"/>
      <c r="AC13" s="28"/>
      <c r="AD13" s="28" t="s">
        <v>234</v>
      </c>
      <c r="AE13" s="28"/>
    </row>
    <row r="14" spans="1:31" s="30" customFormat="1" ht="15.75" thickBot="1">
      <c r="A14" s="27">
        <v>7</v>
      </c>
      <c r="B14" s="28" t="s">
        <v>241</v>
      </c>
      <c r="C14" s="29">
        <v>42224</v>
      </c>
      <c r="D14" s="28" t="s">
        <v>231</v>
      </c>
      <c r="E14" s="28"/>
      <c r="F14" s="28"/>
      <c r="G14" s="28" t="s">
        <v>234</v>
      </c>
      <c r="H14" s="28"/>
      <c r="I14" s="28"/>
      <c r="J14" s="28"/>
      <c r="K14" s="28" t="s">
        <v>234</v>
      </c>
      <c r="L14" s="28"/>
      <c r="M14" s="28"/>
      <c r="N14" s="28"/>
      <c r="O14" s="28"/>
      <c r="P14" s="28"/>
      <c r="Q14" s="28"/>
      <c r="R14" s="28" t="s">
        <v>231</v>
      </c>
      <c r="S14" s="28"/>
      <c r="T14" s="28"/>
      <c r="U14" s="28"/>
      <c r="V14" s="28"/>
      <c r="W14" s="28" t="s">
        <v>234</v>
      </c>
      <c r="X14" s="28"/>
      <c r="Y14" s="28"/>
      <c r="Z14" s="28"/>
      <c r="AA14" s="28" t="s">
        <v>235</v>
      </c>
      <c r="AB14" s="28"/>
      <c r="AC14" s="28"/>
      <c r="AD14" s="28" t="s">
        <v>234</v>
      </c>
      <c r="AE14" s="28"/>
    </row>
    <row r="15" spans="1:31" s="30" customFormat="1" ht="15.75" thickBot="1">
      <c r="A15" s="27">
        <v>8</v>
      </c>
      <c r="B15" s="28" t="s">
        <v>242</v>
      </c>
      <c r="C15" s="29">
        <v>42166</v>
      </c>
      <c r="D15" s="28" t="s">
        <v>231</v>
      </c>
      <c r="E15" s="28" t="s">
        <v>234</v>
      </c>
      <c r="F15" s="28"/>
      <c r="G15" s="28"/>
      <c r="H15" s="29"/>
      <c r="I15" s="28"/>
      <c r="J15" s="28"/>
      <c r="K15" s="28" t="s">
        <v>234</v>
      </c>
      <c r="L15" s="28"/>
      <c r="M15" s="28"/>
      <c r="N15" s="28"/>
      <c r="O15" s="28"/>
      <c r="P15" s="28"/>
      <c r="Q15" s="28"/>
      <c r="R15" s="28" t="s">
        <v>231</v>
      </c>
      <c r="S15" s="28"/>
      <c r="T15" s="28"/>
      <c r="U15" s="28"/>
      <c r="V15" s="28"/>
      <c r="W15" s="28" t="s">
        <v>234</v>
      </c>
      <c r="X15" s="28"/>
      <c r="Y15" s="28"/>
      <c r="Z15" s="28"/>
      <c r="AA15" s="28" t="s">
        <v>235</v>
      </c>
      <c r="AB15" s="28"/>
      <c r="AC15" s="28"/>
      <c r="AD15" s="28" t="s">
        <v>234</v>
      </c>
      <c r="AE15" s="28"/>
    </row>
    <row r="16" spans="1:31" s="30" customFormat="1" ht="15.75" thickBot="1">
      <c r="A16" s="27">
        <v>9</v>
      </c>
      <c r="B16" s="28" t="s">
        <v>243</v>
      </c>
      <c r="C16" s="29">
        <v>42191</v>
      </c>
      <c r="D16" s="28" t="s">
        <v>231</v>
      </c>
      <c r="E16" s="28" t="s">
        <v>234</v>
      </c>
      <c r="F16" s="28"/>
      <c r="G16" s="28"/>
      <c r="H16" s="28"/>
      <c r="I16" s="28"/>
      <c r="J16" s="28"/>
      <c r="K16" s="28" t="s">
        <v>234</v>
      </c>
      <c r="L16" s="28"/>
      <c r="M16" s="28"/>
      <c r="N16" s="28"/>
      <c r="O16" s="28"/>
      <c r="P16" s="28"/>
      <c r="Q16" s="28"/>
      <c r="R16" s="28" t="s">
        <v>231</v>
      </c>
      <c r="S16" s="28"/>
      <c r="T16" s="28"/>
      <c r="U16" s="28"/>
      <c r="V16" s="28"/>
      <c r="W16" s="28" t="s">
        <v>234</v>
      </c>
      <c r="X16" s="28"/>
      <c r="Y16" s="28"/>
      <c r="Z16" s="28"/>
      <c r="AA16" s="28" t="s">
        <v>235</v>
      </c>
      <c r="AB16" s="28"/>
      <c r="AC16" s="28"/>
      <c r="AD16" s="28" t="s">
        <v>234</v>
      </c>
      <c r="AE16" s="28"/>
    </row>
    <row r="17" spans="1:31" s="30" customFormat="1" ht="15.75" thickBot="1">
      <c r="A17" s="27">
        <v>10</v>
      </c>
      <c r="B17" s="28" t="s">
        <v>244</v>
      </c>
      <c r="C17" s="29">
        <v>42244</v>
      </c>
      <c r="D17" s="28" t="s">
        <v>231</v>
      </c>
      <c r="E17" s="28"/>
      <c r="F17" s="28"/>
      <c r="G17" s="28" t="s">
        <v>234</v>
      </c>
      <c r="H17" s="28"/>
      <c r="I17" s="28"/>
      <c r="J17" s="28"/>
      <c r="K17" s="28" t="s">
        <v>234</v>
      </c>
      <c r="L17" s="28"/>
      <c r="M17" s="28"/>
      <c r="N17" s="28"/>
      <c r="O17" s="28"/>
      <c r="P17" s="28"/>
      <c r="Q17" s="28"/>
      <c r="R17" s="28" t="s">
        <v>231</v>
      </c>
      <c r="S17" s="28"/>
      <c r="T17" s="28"/>
      <c r="U17" s="28"/>
      <c r="V17" s="28"/>
      <c r="W17" s="28" t="s">
        <v>234</v>
      </c>
      <c r="X17" s="28"/>
      <c r="Y17" s="28"/>
      <c r="Z17" s="28"/>
      <c r="AA17" s="28" t="s">
        <v>235</v>
      </c>
      <c r="AB17" s="28"/>
      <c r="AC17" s="28"/>
      <c r="AD17" s="28"/>
      <c r="AE17" s="28" t="s">
        <v>234</v>
      </c>
    </row>
    <row r="18" spans="1:31" s="30" customFormat="1" ht="15.75" thickBot="1">
      <c r="A18" s="27">
        <v>11</v>
      </c>
      <c r="B18" s="28" t="s">
        <v>245</v>
      </c>
      <c r="C18" s="29">
        <v>42290</v>
      </c>
      <c r="D18" s="28" t="s">
        <v>231</v>
      </c>
      <c r="E18" s="28" t="s">
        <v>234</v>
      </c>
      <c r="F18" s="28"/>
      <c r="G18" s="28"/>
      <c r="H18" s="28"/>
      <c r="I18" s="28"/>
      <c r="J18" s="28"/>
      <c r="K18" s="28" t="s">
        <v>234</v>
      </c>
      <c r="L18" s="28"/>
      <c r="M18" s="28"/>
      <c r="N18" s="28"/>
      <c r="O18" s="28"/>
      <c r="P18" s="28"/>
      <c r="Q18" s="28"/>
      <c r="R18" s="28" t="s">
        <v>231</v>
      </c>
      <c r="S18" s="28"/>
      <c r="T18" s="28"/>
      <c r="U18" s="28"/>
      <c r="V18" s="28"/>
      <c r="W18" s="28" t="s">
        <v>234</v>
      </c>
      <c r="X18" s="28"/>
      <c r="Y18" s="28"/>
      <c r="Z18" s="28"/>
      <c r="AA18" s="28" t="s">
        <v>235</v>
      </c>
      <c r="AB18" s="28"/>
      <c r="AC18" s="28"/>
      <c r="AD18" s="28"/>
      <c r="AE18" s="28" t="s">
        <v>234</v>
      </c>
    </row>
    <row r="19" spans="1:31" s="30" customFormat="1" ht="15.75" thickBot="1">
      <c r="A19" s="27">
        <v>12</v>
      </c>
      <c r="B19" s="28" t="s">
        <v>246</v>
      </c>
      <c r="C19" s="29">
        <v>42317</v>
      </c>
      <c r="D19" s="28" t="s">
        <v>231</v>
      </c>
      <c r="E19" s="28" t="s">
        <v>234</v>
      </c>
      <c r="F19" s="28"/>
      <c r="G19" s="28"/>
      <c r="H19" s="28"/>
      <c r="I19" s="28"/>
      <c r="J19" s="28"/>
      <c r="K19" s="28" t="s">
        <v>234</v>
      </c>
      <c r="L19" s="28"/>
      <c r="M19" s="28"/>
      <c r="N19" s="28"/>
      <c r="O19" s="28"/>
      <c r="P19" s="28"/>
      <c r="Q19" s="28"/>
      <c r="R19" s="28" t="s">
        <v>231</v>
      </c>
      <c r="S19" s="28"/>
      <c r="T19" s="28"/>
      <c r="U19" s="28"/>
      <c r="V19" s="28"/>
      <c r="W19" s="28" t="s">
        <v>234</v>
      </c>
      <c r="X19" s="28"/>
      <c r="Y19" s="28"/>
      <c r="Z19" s="28"/>
      <c r="AA19" s="28" t="s">
        <v>235</v>
      </c>
      <c r="AB19" s="28"/>
      <c r="AC19" s="28"/>
      <c r="AD19" s="28"/>
      <c r="AE19" s="28" t="s">
        <v>234</v>
      </c>
    </row>
    <row r="20" spans="1:31" s="30" customFormat="1" ht="15.75" thickBot="1">
      <c r="A20" s="27">
        <v>13</v>
      </c>
      <c r="B20" s="28" t="s">
        <v>247</v>
      </c>
      <c r="C20" s="29">
        <v>42332</v>
      </c>
      <c r="D20" s="28" t="s">
        <v>231</v>
      </c>
      <c r="E20" s="28" t="s">
        <v>234</v>
      </c>
      <c r="F20" s="28"/>
      <c r="G20" s="28"/>
      <c r="H20" s="28"/>
      <c r="I20" s="28"/>
      <c r="J20" s="28"/>
      <c r="K20" s="28" t="s">
        <v>234</v>
      </c>
      <c r="L20" s="28"/>
      <c r="M20" s="28"/>
      <c r="N20" s="28"/>
      <c r="O20" s="28"/>
      <c r="P20" s="28"/>
      <c r="Q20" s="28"/>
      <c r="R20" s="28" t="s">
        <v>231</v>
      </c>
      <c r="S20" s="28"/>
      <c r="T20" s="28"/>
      <c r="U20" s="28"/>
      <c r="V20" s="28"/>
      <c r="W20" s="28" t="s">
        <v>234</v>
      </c>
      <c r="X20" s="28"/>
      <c r="Y20" s="28"/>
      <c r="Z20" s="28"/>
      <c r="AA20" s="28" t="s">
        <v>235</v>
      </c>
      <c r="AB20" s="28"/>
      <c r="AC20" s="28"/>
      <c r="AD20" s="28"/>
      <c r="AE20" s="28" t="s">
        <v>234</v>
      </c>
    </row>
    <row r="21" spans="1:31" s="30" customFormat="1" ht="15.75" thickBot="1">
      <c r="A21" s="27">
        <v>14</v>
      </c>
      <c r="B21" s="28" t="s">
        <v>248</v>
      </c>
      <c r="C21" s="29">
        <v>42359</v>
      </c>
      <c r="D21" s="28" t="s">
        <v>231</v>
      </c>
      <c r="E21" s="28"/>
      <c r="F21" s="28"/>
      <c r="G21" s="28" t="s">
        <v>234</v>
      </c>
      <c r="H21" s="28"/>
      <c r="I21" s="28"/>
      <c r="J21" s="28"/>
      <c r="K21" s="28" t="s">
        <v>234</v>
      </c>
      <c r="L21" s="28"/>
      <c r="M21" s="28"/>
      <c r="N21" s="28"/>
      <c r="O21" s="28"/>
      <c r="P21" s="28"/>
      <c r="Q21" s="28"/>
      <c r="R21" s="28" t="s">
        <v>231</v>
      </c>
      <c r="S21" s="28"/>
      <c r="T21" s="28"/>
      <c r="U21" s="28"/>
      <c r="V21" s="28"/>
      <c r="W21" s="28" t="s">
        <v>234</v>
      </c>
      <c r="X21" s="28"/>
      <c r="Y21" s="28"/>
      <c r="Z21" s="28"/>
      <c r="AA21" s="28" t="s">
        <v>235</v>
      </c>
      <c r="AB21" s="28"/>
      <c r="AC21" s="28"/>
      <c r="AD21" s="28"/>
      <c r="AE21" s="28" t="s">
        <v>234</v>
      </c>
    </row>
    <row r="22" spans="1:31" ht="24.75" customHeight="1" thickBot="1">
      <c r="A22" s="116"/>
      <c r="B22" s="537" t="s">
        <v>250</v>
      </c>
      <c r="C22" s="538"/>
      <c r="D22" s="538"/>
      <c r="E22" s="538"/>
      <c r="F22" s="538"/>
      <c r="G22" s="538"/>
      <c r="H22" s="538"/>
      <c r="I22" s="538"/>
      <c r="J22" s="539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ht="26.25" thickBot="1">
      <c r="A23" s="137">
        <v>1</v>
      </c>
      <c r="B23" s="138" t="s">
        <v>357</v>
      </c>
      <c r="C23" s="139" t="s">
        <v>358</v>
      </c>
      <c r="D23" s="28" t="s">
        <v>233</v>
      </c>
      <c r="E23" s="28" t="s">
        <v>234</v>
      </c>
      <c r="F23" s="140"/>
      <c r="G23" s="140"/>
      <c r="H23" s="140"/>
      <c r="I23" s="140"/>
      <c r="J23" s="140"/>
      <c r="K23" s="28" t="s">
        <v>234</v>
      </c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</row>
    <row r="24" spans="1:31" ht="26.25" thickBot="1">
      <c r="A24" s="137">
        <f>A23+1</f>
        <v>2</v>
      </c>
      <c r="B24" s="138" t="s">
        <v>359</v>
      </c>
      <c r="C24" s="139" t="s">
        <v>360</v>
      </c>
      <c r="D24" s="28" t="s">
        <v>231</v>
      </c>
      <c r="E24" s="28" t="s">
        <v>234</v>
      </c>
      <c r="F24" s="140"/>
      <c r="G24" s="140"/>
      <c r="H24" s="140"/>
      <c r="I24" s="140"/>
      <c r="J24" s="140"/>
      <c r="K24" s="28" t="s">
        <v>234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</row>
    <row r="25" spans="1:31" ht="26.25" thickBot="1">
      <c r="A25" s="137">
        <f aca="true" t="shared" si="0" ref="A25:A68">A24+1</f>
        <v>3</v>
      </c>
      <c r="B25" s="138" t="s">
        <v>361</v>
      </c>
      <c r="C25" s="141">
        <v>42026</v>
      </c>
      <c r="D25" s="28" t="s">
        <v>231</v>
      </c>
      <c r="E25" s="28" t="s">
        <v>234</v>
      </c>
      <c r="F25" s="140"/>
      <c r="G25" s="140"/>
      <c r="H25" s="140"/>
      <c r="I25" s="140"/>
      <c r="J25" s="140"/>
      <c r="K25" s="28" t="s">
        <v>234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ht="26.25" thickBot="1">
      <c r="A26" s="137">
        <f t="shared" si="0"/>
        <v>4</v>
      </c>
      <c r="B26" s="138" t="s">
        <v>362</v>
      </c>
      <c r="C26" s="141">
        <v>42138</v>
      </c>
      <c r="D26" s="28" t="s">
        <v>231</v>
      </c>
      <c r="E26" s="28" t="s">
        <v>234</v>
      </c>
      <c r="F26" s="140"/>
      <c r="G26" s="140"/>
      <c r="H26" s="140"/>
      <c r="I26" s="140"/>
      <c r="J26" s="140"/>
      <c r="K26" s="28" t="s">
        <v>234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</row>
    <row r="27" spans="1:31" ht="26.25" thickBot="1">
      <c r="A27" s="137">
        <f t="shared" si="0"/>
        <v>5</v>
      </c>
      <c r="B27" s="138" t="s">
        <v>363</v>
      </c>
      <c r="C27" s="141">
        <v>42153</v>
      </c>
      <c r="D27" s="28" t="s">
        <v>231</v>
      </c>
      <c r="E27" s="28" t="s">
        <v>234</v>
      </c>
      <c r="F27" s="140"/>
      <c r="G27" s="140"/>
      <c r="H27" s="140"/>
      <c r="I27" s="140"/>
      <c r="J27" s="140"/>
      <c r="K27" s="28" t="s">
        <v>234</v>
      </c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ht="26.25" thickBot="1">
      <c r="A28" s="137">
        <f t="shared" si="0"/>
        <v>6</v>
      </c>
      <c r="B28" s="138" t="s">
        <v>364</v>
      </c>
      <c r="C28" s="141">
        <v>42153</v>
      </c>
      <c r="D28" s="28" t="s">
        <v>231</v>
      </c>
      <c r="E28" s="28" t="s">
        <v>234</v>
      </c>
      <c r="F28" s="140"/>
      <c r="G28" s="140"/>
      <c r="H28" s="140"/>
      <c r="I28" s="140"/>
      <c r="J28" s="140"/>
      <c r="K28" s="28" t="s">
        <v>234</v>
      </c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</row>
    <row r="29" spans="1:31" ht="26.25" thickBot="1">
      <c r="A29" s="137">
        <f t="shared" si="0"/>
        <v>7</v>
      </c>
      <c r="B29" s="138" t="s">
        <v>365</v>
      </c>
      <c r="C29" s="141">
        <v>42059</v>
      </c>
      <c r="D29" s="28" t="s">
        <v>231</v>
      </c>
      <c r="E29" s="28" t="s">
        <v>234</v>
      </c>
      <c r="F29" s="140"/>
      <c r="G29" s="140"/>
      <c r="H29" s="142"/>
      <c r="I29" s="140"/>
      <c r="J29" s="140"/>
      <c r="K29" s="28" t="s">
        <v>234</v>
      </c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ht="26.25" thickBot="1">
      <c r="A30" s="137">
        <f t="shared" si="0"/>
        <v>8</v>
      </c>
      <c r="B30" s="138" t="s">
        <v>366</v>
      </c>
      <c r="C30" s="141">
        <v>42164</v>
      </c>
      <c r="D30" s="28" t="s">
        <v>231</v>
      </c>
      <c r="E30" s="28" t="s">
        <v>234</v>
      </c>
      <c r="F30" s="140"/>
      <c r="G30" s="140"/>
      <c r="H30" s="140"/>
      <c r="I30" s="140"/>
      <c r="J30" s="140"/>
      <c r="K30" s="28" t="s">
        <v>234</v>
      </c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</row>
    <row r="31" spans="1:31" ht="26.25" thickBot="1">
      <c r="A31" s="137">
        <f t="shared" si="0"/>
        <v>9</v>
      </c>
      <c r="B31" s="138" t="s">
        <v>367</v>
      </c>
      <c r="C31" s="141">
        <v>42164</v>
      </c>
      <c r="D31" s="28" t="s">
        <v>231</v>
      </c>
      <c r="E31" s="28" t="s">
        <v>234</v>
      </c>
      <c r="F31" s="140"/>
      <c r="G31" s="140"/>
      <c r="H31" s="140"/>
      <c r="I31" s="140"/>
      <c r="J31" s="140"/>
      <c r="K31" s="28" t="s">
        <v>234</v>
      </c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</row>
    <row r="32" spans="1:31" ht="26.25" thickBot="1">
      <c r="A32" s="137">
        <f t="shared" si="0"/>
        <v>10</v>
      </c>
      <c r="B32" s="143" t="s">
        <v>368</v>
      </c>
      <c r="C32" s="144">
        <v>42018</v>
      </c>
      <c r="D32" s="28" t="s">
        <v>231</v>
      </c>
      <c r="E32" s="28" t="s">
        <v>234</v>
      </c>
      <c r="F32" s="140"/>
      <c r="G32" s="140"/>
      <c r="H32" s="140"/>
      <c r="I32" s="140"/>
      <c r="J32" s="140"/>
      <c r="K32" s="28" t="s">
        <v>234</v>
      </c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</row>
    <row r="33" spans="1:31" ht="26.25" thickBot="1">
      <c r="A33" s="137">
        <f t="shared" si="0"/>
        <v>11</v>
      </c>
      <c r="B33" s="138" t="s">
        <v>369</v>
      </c>
      <c r="C33" s="141">
        <v>42171</v>
      </c>
      <c r="D33" s="28" t="s">
        <v>231</v>
      </c>
      <c r="E33" s="28" t="s">
        <v>234</v>
      </c>
      <c r="F33" s="140"/>
      <c r="G33" s="140"/>
      <c r="H33" s="140"/>
      <c r="I33" s="140"/>
      <c r="J33" s="140"/>
      <c r="K33" s="28" t="s">
        <v>234</v>
      </c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</row>
    <row r="34" spans="1:31" ht="26.25" thickBot="1">
      <c r="A34" s="137">
        <f t="shared" si="0"/>
        <v>12</v>
      </c>
      <c r="B34" s="138" t="s">
        <v>370</v>
      </c>
      <c r="C34" s="141">
        <v>42158</v>
      </c>
      <c r="D34" s="28" t="s">
        <v>231</v>
      </c>
      <c r="E34" s="28" t="s">
        <v>234</v>
      </c>
      <c r="F34" s="140"/>
      <c r="G34" s="140"/>
      <c r="H34" s="140"/>
      <c r="I34" s="140"/>
      <c r="J34" s="140"/>
      <c r="K34" s="28" t="s">
        <v>234</v>
      </c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</row>
    <row r="35" spans="1:31" ht="26.25" thickBot="1">
      <c r="A35" s="137">
        <f t="shared" si="0"/>
        <v>13</v>
      </c>
      <c r="B35" s="138" t="s">
        <v>371</v>
      </c>
      <c r="C35" s="141">
        <v>42065</v>
      </c>
      <c r="D35" s="28" t="s">
        <v>231</v>
      </c>
      <c r="E35" s="28" t="s">
        <v>234</v>
      </c>
      <c r="F35" s="140"/>
      <c r="G35" s="140"/>
      <c r="H35" s="140"/>
      <c r="I35" s="140"/>
      <c r="J35" s="140"/>
      <c r="K35" s="28" t="s">
        <v>234</v>
      </c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</row>
    <row r="36" spans="1:31" ht="26.25" thickBot="1">
      <c r="A36" s="137">
        <f t="shared" si="0"/>
        <v>14</v>
      </c>
      <c r="B36" s="138" t="s">
        <v>372</v>
      </c>
      <c r="C36" s="141">
        <v>42256</v>
      </c>
      <c r="D36" s="28" t="s">
        <v>231</v>
      </c>
      <c r="E36" s="28" t="s">
        <v>234</v>
      </c>
      <c r="F36" s="140"/>
      <c r="G36" s="140"/>
      <c r="H36" s="140"/>
      <c r="I36" s="140"/>
      <c r="J36" s="140"/>
      <c r="K36" s="28" t="s">
        <v>234</v>
      </c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</row>
    <row r="37" spans="1:31" ht="26.25" thickBot="1">
      <c r="A37" s="137">
        <f t="shared" si="0"/>
        <v>15</v>
      </c>
      <c r="B37" s="138" t="s">
        <v>373</v>
      </c>
      <c r="C37" s="141">
        <v>42263</v>
      </c>
      <c r="D37" s="28" t="s">
        <v>233</v>
      </c>
      <c r="E37" s="28" t="s">
        <v>234</v>
      </c>
      <c r="F37" s="140"/>
      <c r="G37" s="140"/>
      <c r="H37" s="140"/>
      <c r="I37" s="140"/>
      <c r="J37" s="140"/>
      <c r="K37" s="28" t="s">
        <v>234</v>
      </c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</row>
    <row r="38" spans="1:31" ht="26.25" thickBot="1">
      <c r="A38" s="137">
        <f t="shared" si="0"/>
        <v>16</v>
      </c>
      <c r="B38" s="138" t="s">
        <v>374</v>
      </c>
      <c r="C38" s="141">
        <v>42236</v>
      </c>
      <c r="D38" s="28" t="s">
        <v>231</v>
      </c>
      <c r="E38" s="28" t="s">
        <v>234</v>
      </c>
      <c r="F38" s="140"/>
      <c r="G38" s="140"/>
      <c r="H38" s="140"/>
      <c r="I38" s="140"/>
      <c r="J38" s="140"/>
      <c r="K38" s="28" t="s">
        <v>234</v>
      </c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</row>
    <row r="39" spans="1:31" ht="26.25" thickBot="1">
      <c r="A39" s="137">
        <f t="shared" si="0"/>
        <v>17</v>
      </c>
      <c r="B39" s="138" t="s">
        <v>375</v>
      </c>
      <c r="C39" s="141">
        <v>42093</v>
      </c>
      <c r="D39" s="28" t="s">
        <v>231</v>
      </c>
      <c r="E39" s="28" t="s">
        <v>234</v>
      </c>
      <c r="F39" s="140"/>
      <c r="G39" s="140"/>
      <c r="H39" s="140"/>
      <c r="I39" s="140"/>
      <c r="J39" s="140"/>
      <c r="K39" s="28" t="s">
        <v>234</v>
      </c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ht="26.25" thickBot="1">
      <c r="A40" s="137">
        <f t="shared" si="0"/>
        <v>18</v>
      </c>
      <c r="B40" s="138" t="s">
        <v>376</v>
      </c>
      <c r="C40" s="141">
        <v>42269</v>
      </c>
      <c r="D40" s="28" t="s">
        <v>231</v>
      </c>
      <c r="E40" s="28" t="s">
        <v>234</v>
      </c>
      <c r="F40" s="140"/>
      <c r="G40" s="140"/>
      <c r="H40" s="140"/>
      <c r="I40" s="140"/>
      <c r="J40" s="140"/>
      <c r="K40" s="28" t="s">
        <v>234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</row>
    <row r="41" spans="1:31" ht="26.25" thickBot="1">
      <c r="A41" s="137">
        <f t="shared" si="0"/>
        <v>19</v>
      </c>
      <c r="B41" s="138" t="s">
        <v>377</v>
      </c>
      <c r="C41" s="141">
        <v>42194</v>
      </c>
      <c r="D41" s="28" t="s">
        <v>231</v>
      </c>
      <c r="E41" s="28" t="s">
        <v>234</v>
      </c>
      <c r="F41" s="140"/>
      <c r="G41" s="140"/>
      <c r="H41" s="140"/>
      <c r="I41" s="140"/>
      <c r="J41" s="140"/>
      <c r="K41" s="28" t="s">
        <v>234</v>
      </c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ht="26.25" thickBot="1">
      <c r="A42" s="137">
        <f t="shared" si="0"/>
        <v>20</v>
      </c>
      <c r="B42" s="138" t="s">
        <v>378</v>
      </c>
      <c r="C42" s="141">
        <v>42298</v>
      </c>
      <c r="D42" s="28" t="s">
        <v>231</v>
      </c>
      <c r="E42" s="28" t="s">
        <v>234</v>
      </c>
      <c r="F42" s="140"/>
      <c r="G42" s="140"/>
      <c r="H42" s="140"/>
      <c r="I42" s="140"/>
      <c r="J42" s="140"/>
      <c r="K42" s="28" t="s">
        <v>234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ht="26.25" thickBot="1">
      <c r="A43" s="137">
        <f t="shared" si="0"/>
        <v>21</v>
      </c>
      <c r="B43" s="138" t="s">
        <v>379</v>
      </c>
      <c r="C43" s="141">
        <v>42116</v>
      </c>
      <c r="D43" s="28" t="s">
        <v>231</v>
      </c>
      <c r="E43" s="28" t="s">
        <v>234</v>
      </c>
      <c r="F43" s="140"/>
      <c r="G43" s="140"/>
      <c r="H43" s="140"/>
      <c r="I43" s="140"/>
      <c r="J43" s="140"/>
      <c r="K43" s="28" t="s">
        <v>234</v>
      </c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44" spans="1:31" ht="26.25" thickBot="1">
      <c r="A44" s="137">
        <f t="shared" si="0"/>
        <v>22</v>
      </c>
      <c r="B44" s="138" t="s">
        <v>380</v>
      </c>
      <c r="C44" s="141">
        <v>42033</v>
      </c>
      <c r="D44" s="28" t="s">
        <v>231</v>
      </c>
      <c r="E44" s="28" t="s">
        <v>234</v>
      </c>
      <c r="F44" s="140"/>
      <c r="G44" s="140"/>
      <c r="H44" s="140"/>
      <c r="I44" s="140"/>
      <c r="J44" s="140"/>
      <c r="K44" s="28" t="s">
        <v>234</v>
      </c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</row>
    <row r="45" spans="1:31" ht="26.25" thickBot="1">
      <c r="A45" s="137">
        <f t="shared" si="0"/>
        <v>23</v>
      </c>
      <c r="B45" s="138" t="s">
        <v>381</v>
      </c>
      <c r="C45" s="141" t="s">
        <v>382</v>
      </c>
      <c r="D45" s="28" t="s">
        <v>231</v>
      </c>
      <c r="E45" s="28" t="s">
        <v>234</v>
      </c>
      <c r="F45" s="140"/>
      <c r="G45" s="140"/>
      <c r="H45" s="140"/>
      <c r="I45" s="140"/>
      <c r="J45" s="140"/>
      <c r="K45" s="28" t="s">
        <v>234</v>
      </c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</row>
    <row r="46" spans="1:31" ht="26.25" thickBot="1">
      <c r="A46" s="137">
        <f t="shared" si="0"/>
        <v>24</v>
      </c>
      <c r="B46" s="138" t="s">
        <v>383</v>
      </c>
      <c r="C46" s="141">
        <v>42156</v>
      </c>
      <c r="D46" s="28" t="s">
        <v>231</v>
      </c>
      <c r="E46" s="28" t="s">
        <v>234</v>
      </c>
      <c r="F46" s="140"/>
      <c r="G46" s="140"/>
      <c r="H46" s="140"/>
      <c r="I46" s="140"/>
      <c r="J46" s="140"/>
      <c r="K46" s="28" t="s">
        <v>234</v>
      </c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</row>
    <row r="47" spans="1:31" ht="26.25" thickBot="1">
      <c r="A47" s="137">
        <f t="shared" si="0"/>
        <v>25</v>
      </c>
      <c r="B47" s="138" t="s">
        <v>384</v>
      </c>
      <c r="C47" s="141">
        <v>42076</v>
      </c>
      <c r="D47" s="28" t="s">
        <v>231</v>
      </c>
      <c r="E47" s="28" t="s">
        <v>234</v>
      </c>
      <c r="F47" s="140"/>
      <c r="G47" s="140"/>
      <c r="H47" s="140"/>
      <c r="I47" s="140"/>
      <c r="J47" s="140"/>
      <c r="K47" s="28" t="s">
        <v>234</v>
      </c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</row>
    <row r="48" spans="1:31" ht="26.25" thickBot="1">
      <c r="A48" s="137">
        <f t="shared" si="0"/>
        <v>26</v>
      </c>
      <c r="B48" s="138" t="s">
        <v>385</v>
      </c>
      <c r="C48" s="141">
        <v>42164</v>
      </c>
      <c r="D48" s="28" t="s">
        <v>231</v>
      </c>
      <c r="E48" s="28" t="s">
        <v>234</v>
      </c>
      <c r="F48" s="140"/>
      <c r="G48" s="140"/>
      <c r="H48" s="140"/>
      <c r="I48" s="140"/>
      <c r="J48" s="140"/>
      <c r="K48" s="28" t="s">
        <v>234</v>
      </c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</row>
    <row r="49" spans="1:31" ht="26.25" thickBot="1">
      <c r="A49" s="137">
        <f t="shared" si="0"/>
        <v>27</v>
      </c>
      <c r="B49" s="138" t="s">
        <v>386</v>
      </c>
      <c r="C49" s="141">
        <v>42123</v>
      </c>
      <c r="D49" s="28" t="s">
        <v>231</v>
      </c>
      <c r="E49" s="28" t="s">
        <v>234</v>
      </c>
      <c r="F49" s="140"/>
      <c r="G49" s="140"/>
      <c r="H49" s="140"/>
      <c r="I49" s="140"/>
      <c r="J49" s="140"/>
      <c r="K49" s="28" t="s">
        <v>234</v>
      </c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</row>
    <row r="50" spans="1:31" ht="26.25" thickBot="1">
      <c r="A50" s="137">
        <f t="shared" si="0"/>
        <v>28</v>
      </c>
      <c r="B50" s="138" t="s">
        <v>387</v>
      </c>
      <c r="C50" s="141">
        <v>42185</v>
      </c>
      <c r="D50" s="28" t="s">
        <v>231</v>
      </c>
      <c r="E50" s="28" t="s">
        <v>234</v>
      </c>
      <c r="F50" s="140"/>
      <c r="G50" s="140"/>
      <c r="H50" s="140"/>
      <c r="I50" s="140"/>
      <c r="J50" s="140"/>
      <c r="K50" s="28" t="s">
        <v>234</v>
      </c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</row>
    <row r="51" spans="1:31" ht="26.25" thickBot="1">
      <c r="A51" s="137">
        <f t="shared" si="0"/>
        <v>29</v>
      </c>
      <c r="B51" s="138" t="s">
        <v>388</v>
      </c>
      <c r="C51" s="141">
        <v>42164</v>
      </c>
      <c r="D51" s="28" t="s">
        <v>233</v>
      </c>
      <c r="E51" s="28" t="s">
        <v>234</v>
      </c>
      <c r="F51" s="140"/>
      <c r="G51" s="140"/>
      <c r="H51" s="140"/>
      <c r="I51" s="140"/>
      <c r="J51" s="140"/>
      <c r="K51" s="28" t="s">
        <v>234</v>
      </c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</row>
    <row r="52" spans="1:31" ht="26.25" thickBot="1">
      <c r="A52" s="137">
        <f t="shared" si="0"/>
        <v>30</v>
      </c>
      <c r="B52" s="138" t="s">
        <v>389</v>
      </c>
      <c r="C52" s="141">
        <v>42188</v>
      </c>
      <c r="D52" s="28" t="s">
        <v>231</v>
      </c>
      <c r="E52" s="28" t="s">
        <v>234</v>
      </c>
      <c r="F52" s="140"/>
      <c r="G52" s="140"/>
      <c r="H52" s="140"/>
      <c r="I52" s="140"/>
      <c r="J52" s="140"/>
      <c r="K52" s="28" t="s">
        <v>234</v>
      </c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</row>
    <row r="53" spans="1:31" ht="26.25" thickBot="1">
      <c r="A53" s="137">
        <f t="shared" si="0"/>
        <v>31</v>
      </c>
      <c r="B53" s="138" t="s">
        <v>390</v>
      </c>
      <c r="C53" s="141">
        <v>42097</v>
      </c>
      <c r="D53" s="28" t="s">
        <v>231</v>
      </c>
      <c r="E53" s="28" t="s">
        <v>234</v>
      </c>
      <c r="F53" s="140"/>
      <c r="G53" s="140"/>
      <c r="H53" s="140"/>
      <c r="I53" s="140"/>
      <c r="J53" s="140"/>
      <c r="K53" s="28" t="s">
        <v>234</v>
      </c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</row>
    <row r="54" spans="1:31" ht="26.25" thickBot="1">
      <c r="A54" s="137">
        <f t="shared" si="0"/>
        <v>32</v>
      </c>
      <c r="B54" s="138" t="s">
        <v>391</v>
      </c>
      <c r="C54" s="141">
        <v>42158</v>
      </c>
      <c r="D54" s="28" t="s">
        <v>231</v>
      </c>
      <c r="E54" s="28" t="s">
        <v>234</v>
      </c>
      <c r="F54" s="140"/>
      <c r="G54" s="140"/>
      <c r="H54" s="140"/>
      <c r="I54" s="140"/>
      <c r="J54" s="140"/>
      <c r="K54" s="28" t="s">
        <v>234</v>
      </c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</row>
    <row r="55" spans="1:31" ht="15.75" thickBot="1">
      <c r="A55" s="137">
        <f t="shared" si="0"/>
        <v>33</v>
      </c>
      <c r="B55" s="138" t="s">
        <v>392</v>
      </c>
      <c r="C55" s="141">
        <v>42220</v>
      </c>
      <c r="D55" s="28" t="s">
        <v>231</v>
      </c>
      <c r="E55" s="28" t="s">
        <v>234</v>
      </c>
      <c r="F55" s="140"/>
      <c r="G55" s="140"/>
      <c r="H55" s="140"/>
      <c r="I55" s="140"/>
      <c r="J55" s="140"/>
      <c r="K55" s="28" t="s">
        <v>234</v>
      </c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</row>
    <row r="56" spans="1:31" ht="26.25" thickBot="1">
      <c r="A56" s="137">
        <f t="shared" si="0"/>
        <v>34</v>
      </c>
      <c r="B56" s="138" t="s">
        <v>393</v>
      </c>
      <c r="C56" s="141">
        <v>42086</v>
      </c>
      <c r="D56" s="28" t="s">
        <v>231</v>
      </c>
      <c r="E56" s="28" t="s">
        <v>234</v>
      </c>
      <c r="F56" s="140"/>
      <c r="G56" s="140"/>
      <c r="H56" s="140"/>
      <c r="I56" s="140"/>
      <c r="J56" s="140"/>
      <c r="K56" s="28" t="s">
        <v>234</v>
      </c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</row>
    <row r="57" spans="1:31" ht="26.25" thickBot="1">
      <c r="A57" s="137">
        <f t="shared" si="0"/>
        <v>35</v>
      </c>
      <c r="B57" s="138" t="s">
        <v>394</v>
      </c>
      <c r="C57" s="141">
        <v>42157</v>
      </c>
      <c r="D57" s="28" t="s">
        <v>231</v>
      </c>
      <c r="E57" s="28" t="s">
        <v>234</v>
      </c>
      <c r="F57" s="140"/>
      <c r="G57" s="140"/>
      <c r="H57" s="140"/>
      <c r="I57" s="140"/>
      <c r="J57" s="140"/>
      <c r="K57" s="28" t="s">
        <v>234</v>
      </c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</row>
    <row r="58" spans="1:31" ht="26.25" thickBot="1">
      <c r="A58" s="137">
        <f t="shared" si="0"/>
        <v>36</v>
      </c>
      <c r="B58" s="138" t="s">
        <v>395</v>
      </c>
      <c r="C58" s="141">
        <v>42193</v>
      </c>
      <c r="D58" s="28" t="s">
        <v>231</v>
      </c>
      <c r="E58" s="28" t="s">
        <v>234</v>
      </c>
      <c r="F58" s="140"/>
      <c r="G58" s="140"/>
      <c r="H58" s="140"/>
      <c r="I58" s="140"/>
      <c r="J58" s="140"/>
      <c r="K58" s="28" t="s">
        <v>234</v>
      </c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</row>
    <row r="59" spans="1:31" ht="26.25" thickBot="1">
      <c r="A59" s="137">
        <f t="shared" si="0"/>
        <v>37</v>
      </c>
      <c r="B59" s="138" t="s">
        <v>396</v>
      </c>
      <c r="C59" s="141">
        <v>42193</v>
      </c>
      <c r="D59" s="28" t="s">
        <v>231</v>
      </c>
      <c r="E59" s="28" t="s">
        <v>234</v>
      </c>
      <c r="F59" s="140"/>
      <c r="G59" s="140"/>
      <c r="H59" s="140"/>
      <c r="I59" s="140"/>
      <c r="J59" s="140"/>
      <c r="K59" s="28" t="s">
        <v>234</v>
      </c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</row>
    <row r="60" spans="1:31" ht="26.25" thickBot="1">
      <c r="A60" s="137">
        <f t="shared" si="0"/>
        <v>38</v>
      </c>
      <c r="B60" s="138" t="s">
        <v>397</v>
      </c>
      <c r="C60" s="141">
        <v>42179</v>
      </c>
      <c r="D60" s="28" t="s">
        <v>231</v>
      </c>
      <c r="E60" s="28" t="s">
        <v>234</v>
      </c>
      <c r="F60" s="140"/>
      <c r="G60" s="140"/>
      <c r="H60" s="140"/>
      <c r="I60" s="140"/>
      <c r="J60" s="140"/>
      <c r="K60" s="28" t="s">
        <v>234</v>
      </c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</row>
    <row r="61" spans="1:31" ht="26.25" thickBot="1">
      <c r="A61" s="137">
        <f t="shared" si="0"/>
        <v>39</v>
      </c>
      <c r="B61" s="138" t="s">
        <v>398</v>
      </c>
      <c r="C61" s="141">
        <v>42270</v>
      </c>
      <c r="D61" s="28" t="s">
        <v>231</v>
      </c>
      <c r="E61" s="28" t="s">
        <v>234</v>
      </c>
      <c r="F61" s="140"/>
      <c r="G61" s="140"/>
      <c r="H61" s="140"/>
      <c r="I61" s="140"/>
      <c r="J61" s="140"/>
      <c r="K61" s="28" t="s">
        <v>234</v>
      </c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</row>
    <row r="62" spans="1:31" ht="26.25" thickBot="1">
      <c r="A62" s="137">
        <f t="shared" si="0"/>
        <v>40</v>
      </c>
      <c r="B62" s="138" t="s">
        <v>399</v>
      </c>
      <c r="C62" s="141">
        <v>42187</v>
      </c>
      <c r="D62" s="28" t="s">
        <v>231</v>
      </c>
      <c r="E62" s="28" t="s">
        <v>234</v>
      </c>
      <c r="F62" s="140"/>
      <c r="G62" s="140"/>
      <c r="H62" s="140"/>
      <c r="I62" s="140"/>
      <c r="J62" s="140"/>
      <c r="K62" s="28" t="s">
        <v>234</v>
      </c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</row>
    <row r="63" spans="1:31" ht="26.25" thickBot="1">
      <c r="A63" s="137">
        <f t="shared" si="0"/>
        <v>41</v>
      </c>
      <c r="B63" s="138" t="s">
        <v>400</v>
      </c>
      <c r="C63" s="141">
        <v>42171</v>
      </c>
      <c r="D63" s="28" t="s">
        <v>231</v>
      </c>
      <c r="E63" s="28" t="s">
        <v>234</v>
      </c>
      <c r="F63" s="140"/>
      <c r="G63" s="140"/>
      <c r="H63" s="140"/>
      <c r="I63" s="140"/>
      <c r="J63" s="140"/>
      <c r="K63" s="28" t="s">
        <v>234</v>
      </c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</row>
    <row r="64" spans="1:31" ht="26.25" thickBot="1">
      <c r="A64" s="137">
        <f t="shared" si="0"/>
        <v>42</v>
      </c>
      <c r="B64" s="138" t="s">
        <v>401</v>
      </c>
      <c r="C64" s="141">
        <v>42269</v>
      </c>
      <c r="D64" s="28" t="s">
        <v>231</v>
      </c>
      <c r="E64" s="28" t="s">
        <v>234</v>
      </c>
      <c r="F64" s="140"/>
      <c r="G64" s="140"/>
      <c r="H64" s="140"/>
      <c r="I64" s="140"/>
      <c r="J64" s="140"/>
      <c r="K64" s="28" t="s">
        <v>234</v>
      </c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</row>
    <row r="65" spans="1:31" ht="26.25" thickBot="1">
      <c r="A65" s="137">
        <f t="shared" si="0"/>
        <v>43</v>
      </c>
      <c r="B65" s="138" t="s">
        <v>402</v>
      </c>
      <c r="C65" s="141">
        <v>42202</v>
      </c>
      <c r="D65" s="28" t="s">
        <v>231</v>
      </c>
      <c r="E65" s="28" t="s">
        <v>234</v>
      </c>
      <c r="F65" s="140"/>
      <c r="G65" s="140"/>
      <c r="H65" s="140"/>
      <c r="I65" s="140"/>
      <c r="J65" s="140"/>
      <c r="K65" s="28" t="s">
        <v>234</v>
      </c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</row>
    <row r="66" spans="1:31" ht="26.25" thickBot="1">
      <c r="A66" s="137">
        <f t="shared" si="0"/>
        <v>44</v>
      </c>
      <c r="B66" s="138" t="s">
        <v>403</v>
      </c>
      <c r="C66" s="141">
        <v>42289</v>
      </c>
      <c r="D66" s="28" t="s">
        <v>231</v>
      </c>
      <c r="E66" s="28" t="s">
        <v>234</v>
      </c>
      <c r="F66" s="140"/>
      <c r="G66" s="140"/>
      <c r="H66" s="140"/>
      <c r="I66" s="140"/>
      <c r="J66" s="140"/>
      <c r="K66" s="28" t="s">
        <v>234</v>
      </c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</row>
    <row r="67" spans="1:31" ht="26.25" thickBot="1">
      <c r="A67" s="137">
        <f t="shared" si="0"/>
        <v>45</v>
      </c>
      <c r="B67" s="138" t="s">
        <v>404</v>
      </c>
      <c r="C67" s="141">
        <v>42214</v>
      </c>
      <c r="D67" s="28" t="s">
        <v>231</v>
      </c>
      <c r="E67" s="28" t="s">
        <v>234</v>
      </c>
      <c r="F67" s="140"/>
      <c r="G67" s="140"/>
      <c r="H67" s="140"/>
      <c r="I67" s="140"/>
      <c r="J67" s="140"/>
      <c r="K67" s="28" t="s">
        <v>234</v>
      </c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</row>
    <row r="68" spans="1:31" ht="26.25" thickBot="1">
      <c r="A68" s="137">
        <f t="shared" si="0"/>
        <v>46</v>
      </c>
      <c r="B68" s="138" t="s">
        <v>405</v>
      </c>
      <c r="C68" s="141">
        <v>42327</v>
      </c>
      <c r="D68" s="28" t="s">
        <v>231</v>
      </c>
      <c r="E68" s="28" t="s">
        <v>234</v>
      </c>
      <c r="F68" s="140"/>
      <c r="G68" s="140"/>
      <c r="H68" s="140"/>
      <c r="I68" s="140"/>
      <c r="J68" s="140"/>
      <c r="K68" s="28" t="s">
        <v>234</v>
      </c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</row>
    <row r="69" spans="1:31" ht="15.75" thickBot="1">
      <c r="A69" s="145"/>
      <c r="B69" s="145"/>
      <c r="C69" s="145"/>
      <c r="D69" s="146"/>
      <c r="E69" s="146"/>
      <c r="F69" s="146"/>
      <c r="G69" s="146"/>
      <c r="H69" s="146"/>
      <c r="I69" s="146"/>
      <c r="J69" s="146"/>
      <c r="K69" s="28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</row>
  </sheetData>
  <sheetProtection/>
  <mergeCells count="13">
    <mergeCell ref="P4:V4"/>
    <mergeCell ref="W4:Z4"/>
    <mergeCell ref="AA4:AC4"/>
    <mergeCell ref="AD4:AE4"/>
    <mergeCell ref="B7:J7"/>
    <mergeCell ref="B22:J22"/>
    <mergeCell ref="A1:O1"/>
    <mergeCell ref="A4:A5"/>
    <mergeCell ref="B4:B5"/>
    <mergeCell ref="C4:C5"/>
    <mergeCell ref="D4:D5"/>
    <mergeCell ref="E4:I4"/>
    <mergeCell ref="J4:O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2016-02-26T09:07:43Z</dcterms:modified>
  <cp:category/>
  <cp:version/>
  <cp:contentType/>
  <cp:contentStatus/>
</cp:coreProperties>
</file>